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ngw\Downloads\C52_ComfortDelGro_IR_Documents\"/>
    </mc:Choice>
  </mc:AlternateContent>
  <xr:revisionPtr revIDLastSave="0" documentId="13_ncr:1_{D5FC6965-F19E-4618-B50A-BF470618F352}" xr6:coauthVersionLast="47" xr6:coauthVersionMax="47" xr10:uidLastSave="{00000000-0000-0000-0000-000000000000}"/>
  <bookViews>
    <workbookView xWindow="1905" yWindow="1905" windowWidth="21495" windowHeight="18300" xr2:uid="{F08E2063-4D38-4D31-AD7B-5E3DFE1966EC}"/>
  </bookViews>
  <sheets>
    <sheet name="Cover" sheetId="1" r:id="rId1"/>
    <sheet name="Disclosures" sheetId="2" r:id="rId2"/>
    <sheet name="Assumptions" sheetId="3" r:id="rId3"/>
    <sheet name="Historical_Financials" sheetId="4" r:id="rId4"/>
    <sheet name="Segment_Model" sheetId="5" r:id="rId5"/>
    <sheet name="Income_Statement" sheetId="6" r:id="rId6"/>
    <sheet name="Cash_Flow" sheetId="7" r:id="rId7"/>
    <sheet name="Balance_Sheet" sheetId="8" r:id="rId8"/>
    <sheet name="Debt_and_Leases" sheetId="9" r:id="rId9"/>
    <sheet name="Equity_and_Dividends" sheetId="10" r:id="rId10"/>
    <sheet name="Goodwill_and_Intangibles" sheetId="11" r:id="rId11"/>
    <sheet name="Working_Capital" sheetId="12" r:id="rId12"/>
    <sheet name="Capex_and_DA" sheetId="13" r:id="rId13"/>
    <sheet name="Valuation" sheetId="14" r:id="rId14"/>
    <sheet name="Sensitivities" sheetId="15" r:id="rId15"/>
    <sheet name="Checks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3" l="1"/>
  <c r="E18" i="10"/>
  <c r="D18" i="10"/>
  <c r="D21" i="10" s="1"/>
  <c r="C18" i="10"/>
  <c r="L8" i="13"/>
  <c r="K8" i="13"/>
  <c r="J8" i="13"/>
  <c r="I8" i="13"/>
  <c r="H8" i="13"/>
  <c r="C30" i="3"/>
  <c r="B30" i="3"/>
  <c r="C29" i="3"/>
  <c r="B29" i="3"/>
  <c r="C28" i="3"/>
  <c r="B28" i="3"/>
  <c r="C23" i="3"/>
  <c r="C22" i="3"/>
  <c r="D17" i="3"/>
  <c r="D16" i="3"/>
  <c r="D15" i="3"/>
  <c r="D14" i="3"/>
  <c r="D13" i="3"/>
  <c r="C17" i="3"/>
  <c r="C16" i="3"/>
  <c r="C15" i="3"/>
  <c r="C14" i="3"/>
  <c r="C13" i="3"/>
  <c r="B10" i="3"/>
  <c r="B9" i="3"/>
  <c r="B8" i="3"/>
  <c r="B7" i="3"/>
  <c r="B6" i="3"/>
  <c r="D10" i="3"/>
  <c r="D9" i="3"/>
  <c r="D8" i="3"/>
  <c r="D7" i="3"/>
  <c r="D6" i="3"/>
  <c r="C10" i="3"/>
  <c r="C9" i="3"/>
  <c r="C8" i="3"/>
  <c r="C7" i="3"/>
  <c r="C6" i="3"/>
  <c r="F7" i="9"/>
  <c r="C6" i="13"/>
  <c r="C21" i="10"/>
  <c r="C23" i="10" s="1"/>
  <c r="B21" i="10"/>
  <c r="C15" i="10"/>
  <c r="B15" i="10"/>
  <c r="C8" i="10"/>
  <c r="B8" i="10"/>
  <c r="C21" i="8"/>
  <c r="B21" i="8"/>
  <c r="C14" i="8"/>
  <c r="B14" i="8"/>
  <c r="C7" i="6"/>
  <c r="C16" i="6" s="1"/>
  <c r="C18" i="6" s="1"/>
  <c r="C20" i="6" s="1"/>
  <c r="C5" i="6"/>
  <c r="C12" i="12" s="1"/>
  <c r="C33" i="4"/>
  <c r="B33" i="4"/>
  <c r="C28" i="4"/>
  <c r="B28" i="4"/>
  <c r="N8" i="16" a="1"/>
  <c r="N8" i="16"/>
  <c r="N7" i="16" a="1"/>
  <c r="N7" i="16"/>
  <c r="N6" i="16" a="1"/>
  <c r="N6" i="16" s="1"/>
  <c r="L40" i="7"/>
  <c r="K40" i="7"/>
  <c r="J40" i="7"/>
  <c r="I40" i="7"/>
  <c r="H40" i="7"/>
  <c r="L39" i="7"/>
  <c r="K39" i="7"/>
  <c r="J39" i="7"/>
  <c r="I39" i="7"/>
  <c r="H39" i="7"/>
  <c r="L37" i="7"/>
  <c r="K37" i="7"/>
  <c r="J37" i="7"/>
  <c r="I37" i="7"/>
  <c r="H37" i="7"/>
  <c r="L36" i="7"/>
  <c r="K36" i="7"/>
  <c r="J36" i="7"/>
  <c r="I36" i="7"/>
  <c r="H36" i="7"/>
  <c r="L35" i="7"/>
  <c r="K35" i="7"/>
  <c r="J35" i="7"/>
  <c r="I35" i="7"/>
  <c r="H35" i="7"/>
  <c r="L18" i="7"/>
  <c r="K18" i="7"/>
  <c r="J18" i="7"/>
  <c r="I18" i="7"/>
  <c r="H18" i="7"/>
  <c r="F32" i="3"/>
  <c r="E32" i="3"/>
  <c r="F31" i="3"/>
  <c r="E31" i="3"/>
  <c r="D24" i="8"/>
  <c r="C24" i="8"/>
  <c r="C27" i="8" s="1"/>
  <c r="B24" i="8"/>
  <c r="B27" i="8" s="1"/>
  <c r="F13" i="8"/>
  <c r="E13" i="8"/>
  <c r="D13" i="8"/>
  <c r="F33" i="4"/>
  <c r="E33" i="4"/>
  <c r="D33" i="4"/>
  <c r="F28" i="4"/>
  <c r="E28" i="4"/>
  <c r="D28" i="4"/>
  <c r="D9" i="8" s="1"/>
  <c r="D14" i="8" s="1"/>
  <c r="E9" i="8"/>
  <c r="E14" i="8" s="1"/>
  <c r="F11" i="9"/>
  <c r="E11" i="9"/>
  <c r="D11" i="9"/>
  <c r="C11" i="9"/>
  <c r="F6" i="9"/>
  <c r="E7" i="9" s="1"/>
  <c r="E6" i="9"/>
  <c r="D6" i="9"/>
  <c r="C6" i="9"/>
  <c r="F6" i="13"/>
  <c r="E6" i="13"/>
  <c r="D6" i="13"/>
  <c r="F20" i="8"/>
  <c r="F21" i="8" s="1"/>
  <c r="F28" i="8" s="1"/>
  <c r="E20" i="8"/>
  <c r="E21" i="8" s="1"/>
  <c r="E28" i="8" s="1"/>
  <c r="D20" i="8"/>
  <c r="F9" i="8"/>
  <c r="F14" i="8" s="1"/>
  <c r="L24" i="8"/>
  <c r="K24" i="8"/>
  <c r="J24" i="8"/>
  <c r="I24" i="8"/>
  <c r="H24" i="8"/>
  <c r="L12" i="8"/>
  <c r="K12" i="8"/>
  <c r="J12" i="8"/>
  <c r="I12" i="8"/>
  <c r="H12" i="8"/>
  <c r="L11" i="8"/>
  <c r="K11" i="8"/>
  <c r="J11" i="8"/>
  <c r="I11" i="8"/>
  <c r="H11" i="8"/>
  <c r="L10" i="11"/>
  <c r="K10" i="11"/>
  <c r="J10" i="11"/>
  <c r="I10" i="11"/>
  <c r="H10" i="11"/>
  <c r="L13" i="11"/>
  <c r="K13" i="11"/>
  <c r="J13" i="11"/>
  <c r="I13" i="11"/>
  <c r="H13" i="11"/>
  <c r="L7" i="11"/>
  <c r="K7" i="11"/>
  <c r="J7" i="11"/>
  <c r="I7" i="11"/>
  <c r="H7" i="11"/>
  <c r="I5" i="11" s="1"/>
  <c r="L5" i="11"/>
  <c r="K5" i="11"/>
  <c r="J5" i="11"/>
  <c r="H5" i="11"/>
  <c r="E23" i="10"/>
  <c r="B23" i="10"/>
  <c r="L20" i="10"/>
  <c r="K20" i="10"/>
  <c r="J20" i="10"/>
  <c r="I20" i="10"/>
  <c r="H20" i="10"/>
  <c r="H18" i="10"/>
  <c r="L8" i="10"/>
  <c r="K8" i="10"/>
  <c r="J8" i="10"/>
  <c r="I8" i="10"/>
  <c r="H8" i="10"/>
  <c r="L7" i="10"/>
  <c r="K7" i="10"/>
  <c r="J7" i="10"/>
  <c r="I7" i="10"/>
  <c r="H7" i="10"/>
  <c r="L6" i="10"/>
  <c r="K6" i="10"/>
  <c r="J6" i="10"/>
  <c r="I6" i="10"/>
  <c r="H6" i="10"/>
  <c r="L5" i="10"/>
  <c r="K5" i="10"/>
  <c r="J5" i="10"/>
  <c r="I5" i="10"/>
  <c r="H5" i="10"/>
  <c r="F21" i="10"/>
  <c r="E21" i="10"/>
  <c r="F15" i="10"/>
  <c r="H11" i="10" s="1"/>
  <c r="E15" i="10"/>
  <c r="D15" i="10"/>
  <c r="F8" i="10"/>
  <c r="E8" i="10"/>
  <c r="D8" i="10"/>
  <c r="F8" i="16"/>
  <c r="E8" i="16"/>
  <c r="D8" i="16"/>
  <c r="C8" i="16"/>
  <c r="B8" i="16"/>
  <c r="B19" i="14"/>
  <c r="B17" i="14"/>
  <c r="B16" i="14"/>
  <c r="F7" i="14"/>
  <c r="E7" i="14"/>
  <c r="D7" i="14"/>
  <c r="C7" i="14"/>
  <c r="B7" i="14"/>
  <c r="L25" i="6"/>
  <c r="K25" i="6"/>
  <c r="J25" i="6"/>
  <c r="I25" i="6"/>
  <c r="H25" i="6"/>
  <c r="F32" i="7"/>
  <c r="E32" i="7"/>
  <c r="D32" i="7"/>
  <c r="C32" i="7"/>
  <c r="B32" i="7"/>
  <c r="L29" i="7"/>
  <c r="K29" i="7"/>
  <c r="J29" i="7"/>
  <c r="I29" i="7"/>
  <c r="H29" i="7"/>
  <c r="L26" i="7"/>
  <c r="K26" i="7"/>
  <c r="J26" i="7"/>
  <c r="I26" i="7"/>
  <c r="H26" i="7"/>
  <c r="L24" i="7"/>
  <c r="K24" i="7"/>
  <c r="J24" i="7"/>
  <c r="I24" i="7"/>
  <c r="H24" i="7"/>
  <c r="L23" i="7"/>
  <c r="K23" i="7"/>
  <c r="J23" i="7"/>
  <c r="I23" i="7"/>
  <c r="H23" i="7"/>
  <c r="L19" i="7"/>
  <c r="K19" i="7"/>
  <c r="J19" i="7"/>
  <c r="I19" i="7"/>
  <c r="H19" i="7"/>
  <c r="F12" i="12"/>
  <c r="E12" i="12"/>
  <c r="F10" i="12"/>
  <c r="E10" i="12"/>
  <c r="D10" i="12"/>
  <c r="F9" i="12"/>
  <c r="E9" i="12"/>
  <c r="D9" i="12"/>
  <c r="C9" i="12"/>
  <c r="B9" i="12"/>
  <c r="B12" i="12" s="1"/>
  <c r="F27" i="8"/>
  <c r="E27" i="8"/>
  <c r="D27" i="8"/>
  <c r="D21" i="8"/>
  <c r="D28" i="8" s="1"/>
  <c r="L18" i="8"/>
  <c r="K18" i="8"/>
  <c r="J18" i="8"/>
  <c r="I18" i="8"/>
  <c r="H18" i="8"/>
  <c r="L17" i="8"/>
  <c r="K17" i="8"/>
  <c r="J17" i="8"/>
  <c r="I17" i="8"/>
  <c r="H17" i="8"/>
  <c r="F21" i="9"/>
  <c r="E21" i="9"/>
  <c r="D21" i="9"/>
  <c r="C21" i="9"/>
  <c r="B21" i="9"/>
  <c r="L20" i="9"/>
  <c r="K20" i="9"/>
  <c r="J20" i="9"/>
  <c r="I20" i="9"/>
  <c r="H20" i="9"/>
  <c r="L19" i="9"/>
  <c r="K19" i="9"/>
  <c r="J19" i="9"/>
  <c r="I19" i="9"/>
  <c r="H19" i="9"/>
  <c r="L18" i="9"/>
  <c r="L14" i="6" s="1"/>
  <c r="K18" i="9"/>
  <c r="J18" i="9"/>
  <c r="I18" i="9"/>
  <c r="H18" i="9"/>
  <c r="L17" i="9"/>
  <c r="K17" i="9"/>
  <c r="J17" i="9"/>
  <c r="I17" i="9"/>
  <c r="H17" i="9"/>
  <c r="F17" i="9"/>
  <c r="E17" i="9"/>
  <c r="D17" i="9"/>
  <c r="C17" i="9"/>
  <c r="B17" i="9"/>
  <c r="L14" i="9"/>
  <c r="K14" i="9"/>
  <c r="L11" i="9" s="1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K11" i="9"/>
  <c r="J11" i="9"/>
  <c r="I11" i="9"/>
  <c r="H11" i="9"/>
  <c r="L8" i="9"/>
  <c r="K8" i="9"/>
  <c r="J8" i="9"/>
  <c r="I8" i="9"/>
  <c r="J6" i="9" s="1"/>
  <c r="H8" i="9"/>
  <c r="L7" i="9"/>
  <c r="K7" i="9"/>
  <c r="J7" i="9"/>
  <c r="I7" i="9"/>
  <c r="H7" i="9"/>
  <c r="D7" i="9"/>
  <c r="C7" i="9"/>
  <c r="B7" i="9"/>
  <c r="L6" i="9"/>
  <c r="K6" i="9"/>
  <c r="I6" i="9"/>
  <c r="H6" i="9"/>
  <c r="H6" i="13"/>
  <c r="G27" i="6"/>
  <c r="F27" i="6"/>
  <c r="E27" i="6"/>
  <c r="B27" i="6"/>
  <c r="F25" i="6"/>
  <c r="E25" i="6"/>
  <c r="D25" i="6"/>
  <c r="C25" i="6"/>
  <c r="B25" i="6"/>
  <c r="G20" i="6"/>
  <c r="F20" i="6"/>
  <c r="E20" i="6"/>
  <c r="B20" i="6"/>
  <c r="G18" i="6"/>
  <c r="F18" i="6"/>
  <c r="E18" i="6"/>
  <c r="B18" i="6"/>
  <c r="G16" i="6"/>
  <c r="F16" i="6"/>
  <c r="E16" i="6"/>
  <c r="B16" i="6"/>
  <c r="L15" i="6"/>
  <c r="K15" i="6"/>
  <c r="J15" i="6"/>
  <c r="I15" i="6"/>
  <c r="H15" i="6"/>
  <c r="K14" i="6"/>
  <c r="J14" i="6"/>
  <c r="I14" i="6"/>
  <c r="H14" i="6"/>
  <c r="L13" i="6"/>
  <c r="K13" i="6"/>
  <c r="J13" i="6"/>
  <c r="I13" i="6"/>
  <c r="H13" i="6"/>
  <c r="G11" i="6"/>
  <c r="F11" i="6"/>
  <c r="E11" i="6"/>
  <c r="B11" i="6"/>
  <c r="G10" i="6"/>
  <c r="F10" i="6"/>
  <c r="E10" i="6"/>
  <c r="B10" i="6"/>
  <c r="G8" i="6"/>
  <c r="F8" i="6"/>
  <c r="E8" i="6"/>
  <c r="B8" i="6"/>
  <c r="G7" i="6"/>
  <c r="F7" i="6"/>
  <c r="E7" i="6"/>
  <c r="B7" i="6"/>
  <c r="G5" i="6"/>
  <c r="F5" i="6"/>
  <c r="E5" i="6"/>
  <c r="B5" i="6"/>
  <c r="K28" i="5"/>
  <c r="J28" i="5"/>
  <c r="I28" i="5"/>
  <c r="H28" i="5"/>
  <c r="G28" i="5"/>
  <c r="F28" i="5"/>
  <c r="E28" i="5"/>
  <c r="D28" i="5"/>
  <c r="C28" i="5"/>
  <c r="B28" i="5"/>
  <c r="K27" i="5"/>
  <c r="J27" i="5"/>
  <c r="I27" i="5"/>
  <c r="H27" i="5"/>
  <c r="G27" i="5"/>
  <c r="F27" i="5"/>
  <c r="E27" i="5"/>
  <c r="D27" i="5"/>
  <c r="C27" i="5"/>
  <c r="B27" i="5"/>
  <c r="G26" i="5"/>
  <c r="F26" i="5"/>
  <c r="E26" i="5"/>
  <c r="D26" i="5"/>
  <c r="C26" i="5"/>
  <c r="B26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G21" i="5"/>
  <c r="F21" i="5"/>
  <c r="E21" i="5"/>
  <c r="B21" i="5"/>
  <c r="G20" i="5"/>
  <c r="F20" i="5"/>
  <c r="E20" i="5"/>
  <c r="D20" i="5"/>
  <c r="C20" i="5"/>
  <c r="B20" i="5"/>
  <c r="K19" i="5"/>
  <c r="J19" i="5"/>
  <c r="I19" i="5"/>
  <c r="H19" i="5"/>
  <c r="K18" i="5"/>
  <c r="J18" i="5"/>
  <c r="I18" i="5"/>
  <c r="H18" i="5"/>
  <c r="H17" i="5"/>
  <c r="H26" i="5" s="1"/>
  <c r="L15" i="5"/>
  <c r="L24" i="5" s="1"/>
  <c r="K15" i="5"/>
  <c r="J15" i="5"/>
  <c r="I15" i="5"/>
  <c r="H15" i="5"/>
  <c r="F12" i="5"/>
  <c r="D12" i="5"/>
  <c r="C12" i="5"/>
  <c r="H11" i="5"/>
  <c r="H12" i="5" s="1"/>
  <c r="G11" i="5"/>
  <c r="F11" i="5"/>
  <c r="E11" i="5"/>
  <c r="D11" i="5"/>
  <c r="C11" i="5"/>
  <c r="B11" i="5"/>
  <c r="L10" i="5"/>
  <c r="L19" i="5" s="1"/>
  <c r="L28" i="5" s="1"/>
  <c r="K10" i="5"/>
  <c r="J10" i="5"/>
  <c r="I10" i="5"/>
  <c r="H10" i="5"/>
  <c r="L9" i="5"/>
  <c r="L18" i="5" s="1"/>
  <c r="L27" i="5" s="1"/>
  <c r="K9" i="5"/>
  <c r="J9" i="5"/>
  <c r="I9" i="5"/>
  <c r="H9" i="5"/>
  <c r="I8" i="5"/>
  <c r="I17" i="5" s="1"/>
  <c r="I26" i="5" s="1"/>
  <c r="H8" i="5"/>
  <c r="H7" i="5"/>
  <c r="H16" i="5" s="1"/>
  <c r="H25" i="5" s="1"/>
  <c r="L6" i="5"/>
  <c r="K6" i="5"/>
  <c r="J6" i="5"/>
  <c r="I6" i="5"/>
  <c r="H6" i="5"/>
  <c r="F30" i="3"/>
  <c r="E30" i="3"/>
  <c r="D30" i="3"/>
  <c r="F29" i="3"/>
  <c r="E29" i="3"/>
  <c r="D29" i="3"/>
  <c r="F28" i="3"/>
  <c r="E28" i="3"/>
  <c r="D28" i="3"/>
  <c r="F23" i="3"/>
  <c r="E23" i="3"/>
  <c r="D23" i="3"/>
  <c r="B23" i="3"/>
  <c r="E10" i="3"/>
  <c r="E9" i="3"/>
  <c r="E8" i="3"/>
  <c r="E7" i="3"/>
  <c r="E6" i="3"/>
  <c r="D23" i="10" l="1"/>
  <c r="C10" i="12"/>
  <c r="F23" i="10"/>
  <c r="D21" i="5"/>
  <c r="C21" i="5"/>
  <c r="D5" i="6"/>
  <c r="E12" i="5"/>
  <c r="C8" i="6"/>
  <c r="C10" i="6"/>
  <c r="C11" i="6" s="1"/>
  <c r="C31" i="3"/>
  <c r="B31" i="3"/>
  <c r="C29" i="8"/>
  <c r="C5" i="16" s="1"/>
  <c r="C32" i="3"/>
  <c r="B32" i="3"/>
  <c r="B29" i="8"/>
  <c r="B5" i="16" s="1"/>
  <c r="H5" i="6"/>
  <c r="J8" i="5"/>
  <c r="H20" i="5"/>
  <c r="H7" i="6" s="1"/>
  <c r="H16" i="6" s="1"/>
  <c r="H17" i="6" s="1"/>
  <c r="H8" i="6"/>
  <c r="B7" i="16"/>
  <c r="H21" i="5"/>
  <c r="B6" i="16"/>
  <c r="I7" i="5"/>
  <c r="B28" i="8"/>
  <c r="E29" i="8"/>
  <c r="E5" i="16" s="1"/>
  <c r="D30" i="8"/>
  <c r="F29" i="8"/>
  <c r="F5" i="16" s="1"/>
  <c r="D29" i="8"/>
  <c r="D5" i="16" s="1"/>
  <c r="E30" i="8"/>
  <c r="F30" i="8"/>
  <c r="C28" i="8" l="1"/>
  <c r="C30" i="8" s="1"/>
  <c r="D7" i="6"/>
  <c r="D12" i="12"/>
  <c r="D31" i="3"/>
  <c r="G31" i="3" s="1"/>
  <c r="H31" i="3" s="1"/>
  <c r="D32" i="3"/>
  <c r="H32" i="3" s="1"/>
  <c r="I32" i="3" s="1"/>
  <c r="J32" i="3" s="1"/>
  <c r="K32" i="3" s="1"/>
  <c r="L32" i="3" s="1"/>
  <c r="C27" i="6"/>
  <c r="B30" i="8"/>
  <c r="J17" i="5"/>
  <c r="J26" i="5" s="1"/>
  <c r="K8" i="5"/>
  <c r="H6" i="12"/>
  <c r="H7" i="8" s="1"/>
  <c r="H8" i="12"/>
  <c r="H19" i="8" s="1"/>
  <c r="H6" i="6"/>
  <c r="H7" i="13"/>
  <c r="H7" i="12"/>
  <c r="H8" i="8" s="1"/>
  <c r="I16" i="5"/>
  <c r="J7" i="5"/>
  <c r="I11" i="5"/>
  <c r="H17" i="7"/>
  <c r="H14" i="13"/>
  <c r="H16" i="7" s="1"/>
  <c r="H27" i="6"/>
  <c r="H12" i="7"/>
  <c r="H18" i="6"/>
  <c r="H6" i="7" s="1"/>
  <c r="H20" i="7" l="1"/>
  <c r="I31" i="3"/>
  <c r="J31" i="3" s="1"/>
  <c r="K31" i="3" s="1"/>
  <c r="L31" i="3" s="1"/>
  <c r="H9" i="8"/>
  <c r="H10" i="7" s="1"/>
  <c r="H20" i="8"/>
  <c r="H11" i="7" s="1"/>
  <c r="D16" i="6"/>
  <c r="D8" i="6"/>
  <c r="D10" i="6"/>
  <c r="D11" i="6" s="1"/>
  <c r="H9" i="12"/>
  <c r="L8" i="5"/>
  <c r="L17" i="5" s="1"/>
  <c r="L26" i="5" s="1"/>
  <c r="K17" i="5"/>
  <c r="K26" i="5" s="1"/>
  <c r="H10" i="12"/>
  <c r="H9" i="7" s="1"/>
  <c r="H12" i="12"/>
  <c r="H9" i="13"/>
  <c r="H13" i="13" s="1"/>
  <c r="H9" i="6" s="1"/>
  <c r="H38" i="7" s="1"/>
  <c r="H41" i="7" s="1"/>
  <c r="B6" i="14" s="1"/>
  <c r="I5" i="6"/>
  <c r="I12" i="5"/>
  <c r="J11" i="5"/>
  <c r="K7" i="5"/>
  <c r="J16" i="5"/>
  <c r="I25" i="5"/>
  <c r="I20" i="5"/>
  <c r="H19" i="6"/>
  <c r="H19" i="10" s="1"/>
  <c r="H21" i="10" s="1"/>
  <c r="D27" i="6" l="1"/>
  <c r="D18" i="6"/>
  <c r="D20" i="6" s="1"/>
  <c r="H20" i="6"/>
  <c r="H23" i="6" s="1"/>
  <c r="H24" i="6" s="1"/>
  <c r="H10" i="6"/>
  <c r="H11" i="6" s="1"/>
  <c r="H7" i="7"/>
  <c r="H13" i="7" s="1"/>
  <c r="I20" i="8"/>
  <c r="I11" i="7" s="1"/>
  <c r="I7" i="12"/>
  <c r="I8" i="8" s="1"/>
  <c r="I7" i="13"/>
  <c r="I6" i="6"/>
  <c r="I8" i="12"/>
  <c r="I19" i="8" s="1"/>
  <c r="C6" i="16"/>
  <c r="I9" i="8"/>
  <c r="I10" i="7" s="1"/>
  <c r="I6" i="12"/>
  <c r="H26" i="6"/>
  <c r="I21" i="5"/>
  <c r="I7" i="6"/>
  <c r="J25" i="5"/>
  <c r="J20" i="5"/>
  <c r="J5" i="6"/>
  <c r="J12" i="5"/>
  <c r="H11" i="13"/>
  <c r="K11" i="5"/>
  <c r="L7" i="5"/>
  <c r="K16" i="5"/>
  <c r="I18" i="10"/>
  <c r="H26" i="8"/>
  <c r="H12" i="10" l="1"/>
  <c r="I21" i="8"/>
  <c r="L16" i="5"/>
  <c r="L11" i="5"/>
  <c r="H13" i="10"/>
  <c r="H15" i="10" s="1"/>
  <c r="H25" i="7"/>
  <c r="I7" i="8"/>
  <c r="I9" i="12"/>
  <c r="K25" i="5"/>
  <c r="K20" i="5"/>
  <c r="K5" i="6"/>
  <c r="K12" i="5"/>
  <c r="H10" i="8"/>
  <c r="I6" i="13"/>
  <c r="I17" i="7"/>
  <c r="I14" i="13"/>
  <c r="I16" i="7" s="1"/>
  <c r="J6" i="6"/>
  <c r="J8" i="12"/>
  <c r="J19" i="8" s="1"/>
  <c r="J20" i="8"/>
  <c r="J11" i="7" s="1"/>
  <c r="D6" i="16"/>
  <c r="J9" i="8"/>
  <c r="J10" i="7" s="1"/>
  <c r="J7" i="12"/>
  <c r="J8" i="8" s="1"/>
  <c r="J6" i="12"/>
  <c r="J7" i="13"/>
  <c r="J21" i="5"/>
  <c r="J7" i="6"/>
  <c r="H32" i="7"/>
  <c r="I8" i="6"/>
  <c r="C7" i="16"/>
  <c r="I16" i="6"/>
  <c r="H28" i="7" l="1"/>
  <c r="H30" i="7" s="1"/>
  <c r="H6" i="8" s="1"/>
  <c r="I20" i="7"/>
  <c r="H23" i="10"/>
  <c r="H25" i="8"/>
  <c r="I11" i="10"/>
  <c r="K21" i="5"/>
  <c r="K7" i="6"/>
  <c r="D7" i="16"/>
  <c r="J8" i="6"/>
  <c r="J16" i="6"/>
  <c r="J17" i="7"/>
  <c r="J14" i="13"/>
  <c r="J16" i="7" s="1"/>
  <c r="J20" i="7" s="1"/>
  <c r="K9" i="8"/>
  <c r="K10" i="7" s="1"/>
  <c r="K8" i="12"/>
  <c r="K19" i="8" s="1"/>
  <c r="K6" i="6"/>
  <c r="E6" i="16"/>
  <c r="K20" i="8"/>
  <c r="K11" i="7" s="1"/>
  <c r="K7" i="12"/>
  <c r="K8" i="8" s="1"/>
  <c r="K6" i="12"/>
  <c r="K7" i="13"/>
  <c r="J9" i="12"/>
  <c r="J7" i="8"/>
  <c r="I10" i="12"/>
  <c r="I9" i="7" s="1"/>
  <c r="I12" i="12"/>
  <c r="I17" i="6"/>
  <c r="I18" i="6" s="1"/>
  <c r="I9" i="13"/>
  <c r="I13" i="13" s="1"/>
  <c r="I9" i="6" s="1"/>
  <c r="I38" i="7" s="1"/>
  <c r="I41" i="7" s="1"/>
  <c r="C6" i="14" s="1"/>
  <c r="L12" i="5"/>
  <c r="L5" i="6"/>
  <c r="L25" i="5"/>
  <c r="L20" i="5"/>
  <c r="I6" i="7" l="1"/>
  <c r="I19" i="6"/>
  <c r="I27" i="6"/>
  <c r="I12" i="7"/>
  <c r="J17" i="6"/>
  <c r="J18" i="6" s="1"/>
  <c r="J10" i="12"/>
  <c r="J9" i="7" s="1"/>
  <c r="J12" i="12"/>
  <c r="K9" i="12"/>
  <c r="K7" i="8"/>
  <c r="B8" i="14"/>
  <c r="L7" i="6"/>
  <c r="L21" i="5"/>
  <c r="K17" i="7"/>
  <c r="K14" i="13"/>
  <c r="K16" i="7" s="1"/>
  <c r="K20" i="7" s="1"/>
  <c r="L9" i="8"/>
  <c r="L10" i="7" s="1"/>
  <c r="L6" i="12"/>
  <c r="L8" i="12"/>
  <c r="L19" i="8" s="1"/>
  <c r="L20" i="8"/>
  <c r="L11" i="7" s="1"/>
  <c r="F6" i="16"/>
  <c r="L7" i="12"/>
  <c r="L8" i="8" s="1"/>
  <c r="L6" i="6"/>
  <c r="L7" i="13"/>
  <c r="H27" i="8"/>
  <c r="B10" i="16"/>
  <c r="I11" i="13"/>
  <c r="B9" i="16"/>
  <c r="H21" i="9"/>
  <c r="E7" i="16"/>
  <c r="K8" i="6"/>
  <c r="K16" i="6"/>
  <c r="I10" i="6"/>
  <c r="I11" i="6" s="1"/>
  <c r="I7" i="7"/>
  <c r="K21" i="8"/>
  <c r="J6" i="7" l="1"/>
  <c r="J19" i="6"/>
  <c r="L14" i="13"/>
  <c r="L16" i="7" s="1"/>
  <c r="F7" i="16"/>
  <c r="L8" i="6"/>
  <c r="L16" i="6"/>
  <c r="H21" i="8"/>
  <c r="H28" i="8" s="1"/>
  <c r="I10" i="8"/>
  <c r="J6" i="13"/>
  <c r="K12" i="12"/>
  <c r="K10" i="12"/>
  <c r="K9" i="7" s="1"/>
  <c r="J27" i="6"/>
  <c r="J12" i="7"/>
  <c r="K17" i="6"/>
  <c r="L21" i="8"/>
  <c r="I20" i="6"/>
  <c r="I19" i="10"/>
  <c r="I21" i="10" s="1"/>
  <c r="L7" i="8"/>
  <c r="L9" i="12"/>
  <c r="I13" i="7"/>
  <c r="H13" i="8" l="1"/>
  <c r="H14" i="8" s="1"/>
  <c r="H29" i="8" s="1"/>
  <c r="J9" i="13"/>
  <c r="J13" i="13" s="1"/>
  <c r="J9" i="6" s="1"/>
  <c r="J38" i="7" s="1"/>
  <c r="J41" i="7" s="1"/>
  <c r="D6" i="14" s="1"/>
  <c r="J18" i="10"/>
  <c r="I26" i="8"/>
  <c r="I12" i="10"/>
  <c r="I23" i="6"/>
  <c r="I24" i="6" s="1"/>
  <c r="I26" i="6"/>
  <c r="K27" i="6"/>
  <c r="K12" i="7"/>
  <c r="K18" i="6"/>
  <c r="L17" i="6"/>
  <c r="L17" i="7"/>
  <c r="L20" i="7" s="1"/>
  <c r="J20" i="6"/>
  <c r="J19" i="10"/>
  <c r="L12" i="12"/>
  <c r="L10" i="12"/>
  <c r="L9" i="7" s="1"/>
  <c r="I32" i="7"/>
  <c r="J11" i="13" l="1"/>
  <c r="H30" i="8"/>
  <c r="L27" i="6"/>
  <c r="L12" i="7"/>
  <c r="I25" i="7"/>
  <c r="I13" i="10"/>
  <c r="I15" i="10" s="1"/>
  <c r="L18" i="6"/>
  <c r="K6" i="7"/>
  <c r="K19" i="6"/>
  <c r="J12" i="10"/>
  <c r="J23" i="6"/>
  <c r="J24" i="6" s="1"/>
  <c r="J26" i="6"/>
  <c r="J21" i="10"/>
  <c r="K6" i="13"/>
  <c r="J10" i="8"/>
  <c r="J7" i="7"/>
  <c r="J13" i="7" s="1"/>
  <c r="J32" i="7" s="1"/>
  <c r="J10" i="6"/>
  <c r="J11" i="6" s="1"/>
  <c r="I28" i="7" l="1"/>
  <c r="I30" i="7" s="1"/>
  <c r="K18" i="10"/>
  <c r="J26" i="8"/>
  <c r="J13" i="10"/>
  <c r="J25" i="7"/>
  <c r="J28" i="7" s="1"/>
  <c r="K20" i="6"/>
  <c r="K19" i="10"/>
  <c r="L19" i="6"/>
  <c r="L6" i="7"/>
  <c r="I25" i="8"/>
  <c r="I23" i="10"/>
  <c r="J11" i="10"/>
  <c r="C8" i="14"/>
  <c r="D8" i="14"/>
  <c r="K9" i="13"/>
  <c r="K13" i="13" s="1"/>
  <c r="K9" i="6" s="1"/>
  <c r="K38" i="7" s="1"/>
  <c r="K41" i="7" s="1"/>
  <c r="E6" i="14" s="1"/>
  <c r="I6" i="8" l="1"/>
  <c r="J30" i="7"/>
  <c r="J15" i="10"/>
  <c r="C9" i="16"/>
  <c r="I21" i="9"/>
  <c r="C10" i="16"/>
  <c r="I27" i="8"/>
  <c r="I28" i="8" s="1"/>
  <c r="I13" i="8" s="1"/>
  <c r="I14" i="8" s="1"/>
  <c r="L20" i="6"/>
  <c r="L19" i="10"/>
  <c r="J25" i="8"/>
  <c r="J23" i="10"/>
  <c r="K11" i="10"/>
  <c r="K12" i="10"/>
  <c r="K23" i="6"/>
  <c r="K24" i="6" s="1"/>
  <c r="K26" i="6"/>
  <c r="J6" i="8"/>
  <c r="K11" i="13"/>
  <c r="K7" i="7"/>
  <c r="K13" i="7" s="1"/>
  <c r="K32" i="7" s="1"/>
  <c r="K10" i="6"/>
  <c r="K11" i="6" s="1"/>
  <c r="K21" i="10"/>
  <c r="I30" i="8" l="1"/>
  <c r="L18" i="10"/>
  <c r="L21" i="10" s="1"/>
  <c r="L26" i="8" s="1"/>
  <c r="K26" i="8"/>
  <c r="I29" i="8"/>
  <c r="I5" i="16" s="1"/>
  <c r="L12" i="10"/>
  <c r="L23" i="6"/>
  <c r="L24" i="6" s="1"/>
  <c r="L26" i="6"/>
  <c r="J21" i="9"/>
  <c r="D9" i="16"/>
  <c r="K13" i="10"/>
  <c r="K15" i="10" s="1"/>
  <c r="K25" i="7"/>
  <c r="D10" i="16"/>
  <c r="J27" i="8"/>
  <c r="J21" i="8" s="1"/>
  <c r="K10" i="8"/>
  <c r="L6" i="13"/>
  <c r="K30" i="7" l="1"/>
  <c r="K6" i="8" s="1"/>
  <c r="K28" i="7"/>
  <c r="L13" i="10"/>
  <c r="L25" i="7"/>
  <c r="L28" i="7" s="1"/>
  <c r="L9" i="13"/>
  <c r="L13" i="13" s="1"/>
  <c r="L9" i="6" s="1"/>
  <c r="L38" i="7" s="1"/>
  <c r="L41" i="7" s="1"/>
  <c r="F6" i="14" s="1"/>
  <c r="E8" i="14"/>
  <c r="K25" i="8"/>
  <c r="K23" i="10"/>
  <c r="L11" i="10"/>
  <c r="J28" i="8"/>
  <c r="J13" i="8" l="1"/>
  <c r="J14" i="8" s="1"/>
  <c r="J29" i="8" s="1"/>
  <c r="J5" i="16" s="1"/>
  <c r="L15" i="10"/>
  <c r="L25" i="8" s="1"/>
  <c r="E9" i="16"/>
  <c r="K21" i="9"/>
  <c r="L7" i="7"/>
  <c r="L13" i="7" s="1"/>
  <c r="L10" i="6"/>
  <c r="L11" i="6" s="1"/>
  <c r="E10" i="16"/>
  <c r="K27" i="8"/>
  <c r="K28" i="8" s="1"/>
  <c r="K13" i="8" s="1"/>
  <c r="K14" i="8" s="1"/>
  <c r="L11" i="13"/>
  <c r="L10" i="8" s="1"/>
  <c r="L23" i="10" l="1"/>
  <c r="J30" i="8"/>
  <c r="K30" i="8"/>
  <c r="F10" i="16"/>
  <c r="N10" i="16" s="1" a="1"/>
  <c r="N10" i="16" s="1"/>
  <c r="L27" i="8"/>
  <c r="L28" i="8" s="1"/>
  <c r="L32" i="7"/>
  <c r="L30" i="7"/>
  <c r="L6" i="8" s="1"/>
  <c r="K29" i="8"/>
  <c r="K5" i="16" s="1"/>
  <c r="L13" i="8" l="1"/>
  <c r="L14" i="8" s="1"/>
  <c r="L29" i="8" s="1"/>
  <c r="L5" i="16" s="1"/>
  <c r="N5" i="16" s="1" a="1"/>
  <c r="N5" i="16" s="1"/>
  <c r="F9" i="16"/>
  <c r="N9" i="16" s="1" a="1"/>
  <c r="N9" i="16" s="1"/>
  <c r="L21" i="9"/>
  <c r="N13" i="16" l="1"/>
  <c r="L30" i="8"/>
  <c r="F8" i="14"/>
  <c r="B10" i="14" s="1"/>
  <c r="B11" i="14"/>
  <c r="B12" i="14" s="1"/>
  <c r="B13" i="14" s="1"/>
  <c r="F7" i="15"/>
  <c r="C5" i="15"/>
  <c r="D7" i="15"/>
  <c r="E7" i="15"/>
  <c r="F8" i="15"/>
  <c r="D6" i="15"/>
  <c r="D9" i="15"/>
  <c r="G6" i="15"/>
  <c r="G8" i="15"/>
  <c r="C6" i="15"/>
  <c r="G5" i="15"/>
  <c r="D5" i="15"/>
  <c r="F6" i="15"/>
  <c r="C8" i="15"/>
  <c r="F9" i="15"/>
  <c r="E8" i="15"/>
  <c r="E5" i="15"/>
  <c r="G7" i="15"/>
  <c r="C9" i="15"/>
  <c r="G9" i="15"/>
  <c r="C7" i="15"/>
  <c r="D8" i="15"/>
  <c r="F5" i="15"/>
  <c r="E6" i="15"/>
  <c r="E9" i="15"/>
  <c r="B15" i="14" l="1"/>
  <c r="D23" i="14" l="1"/>
  <c r="C23" i="14"/>
  <c r="G23" i="14"/>
  <c r="F23" i="14"/>
  <c r="E23" i="14"/>
  <c r="B18" i="14"/>
  <c r="B20" i="14" l="1"/>
  <c r="D24" i="14"/>
  <c r="C24" i="14"/>
  <c r="E24" i="14"/>
  <c r="F24" i="14"/>
  <c r="G24" i="14"/>
  <c r="C25" i="14"/>
  <c r="D25" i="14"/>
  <c r="E25" i="14"/>
  <c r="F25" i="14"/>
  <c r="G2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WSP Legal</author>
  </authors>
  <commentList>
    <comment ref="G6" authorId="0" shapeId="0" xr:uid="{EBD047F8-1065-4C7E-8378-ED81D46707B7}">
      <text>
        <r>
          <rPr>
            <b/>
            <sz val="9"/>
            <color indexed="81"/>
            <rFont val="Tahoma"/>
            <charset val="1"/>
          </rPr>
          <t>WSP Legal:</t>
        </r>
        <r>
          <rPr>
            <sz val="9"/>
            <color indexed="81"/>
            <rFont val="Tahoma"/>
            <charset val="1"/>
          </rPr>
          <t xml:space="preserve">
Fare increases + Stockholm Metro commencement Nov 2025</t>
        </r>
      </text>
    </comment>
    <comment ref="H6" authorId="0" shapeId="0" xr:uid="{016DDCDD-508B-4F75-A78B-7DE93F99ABE4}">
      <text>
        <r>
          <rPr>
            <b/>
            <sz val="9"/>
            <color indexed="81"/>
            <rFont val="Tahoma"/>
            <charset val="1"/>
          </rPr>
          <t>WSP Legal:</t>
        </r>
        <r>
          <rPr>
            <sz val="9"/>
            <color indexed="81"/>
            <rFont val="Tahoma"/>
            <charset val="1"/>
          </rPr>
          <t xml:space="preserve">
Full-year Stockholm + Manchester bus franchises</t>
        </r>
      </text>
    </comment>
    <comment ref="G7" authorId="0" shapeId="0" xr:uid="{757C6BFE-5C0F-45EF-A4CE-F6BB2FF2E475}">
      <text>
        <r>
          <rPr>
            <b/>
            <sz val="9"/>
            <color indexed="81"/>
            <rFont val="Tahoma"/>
            <charset val="1"/>
          </rPr>
          <t>WSP Legal:</t>
        </r>
        <r>
          <rPr>
            <sz val="9"/>
            <color indexed="81"/>
            <rFont val="Tahoma"/>
            <charset val="1"/>
          </rPr>
          <t xml:space="preserve">
Full-year A2B + Addison Lee</t>
        </r>
      </text>
    </comment>
    <comment ref="G8" authorId="0" shapeId="0" xr:uid="{6EF752B4-CC77-4406-AA42-C8826EC1E167}">
      <text>
        <r>
          <rPr>
            <b/>
            <sz val="9"/>
            <color indexed="81"/>
            <rFont val="Tahoma"/>
            <charset val="1"/>
          </rPr>
          <t>WSP Legal:</t>
        </r>
        <r>
          <rPr>
            <sz val="9"/>
            <color indexed="81"/>
            <rFont val="Tahoma"/>
            <charset val="1"/>
          </rPr>
          <t xml:space="preserve">
Full-year CMAC</t>
        </r>
      </text>
    </comment>
    <comment ref="G9" authorId="0" shapeId="0" xr:uid="{6D781BD4-3520-45CE-AA5F-600C1C47598E}">
      <text>
        <r>
          <rPr>
            <b/>
            <sz val="9"/>
            <color indexed="81"/>
            <rFont val="Tahoma"/>
            <charset val="1"/>
          </rPr>
          <t>WSP Legal:</t>
        </r>
        <r>
          <rPr>
            <sz val="9"/>
            <color indexed="81"/>
            <rFont val="Tahoma"/>
            <charset val="1"/>
          </rPr>
          <t xml:space="preserve">
ERP 2.0 OBU installations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<sst xmlns="http://schemas.openxmlformats.org/spreadsheetml/2006/main" count="457" uniqueCount="288">
  <si>
    <t>SGX: C52</t>
  </si>
  <si>
    <t>EPS and DPS in Singapore cents</t>
  </si>
  <si>
    <t>Reporting Currency: SGD (S$)</t>
  </si>
  <si>
    <t>Fiscal Year End: 31 December</t>
  </si>
  <si>
    <t>Auditor: KPMG LLP</t>
  </si>
  <si>
    <t>Accounting Standards: SFRS(I)</t>
  </si>
  <si>
    <t>COMFORTDELGRO CORPORATION LIMITED (SGX: C52)</t>
  </si>
  <si>
    <t>ASSUMPTIONS</t>
  </si>
  <si>
    <t>(S$m unless stated)</t>
  </si>
  <si>
    <t>FY2020</t>
  </si>
  <si>
    <t>FY2021</t>
  </si>
  <si>
    <t>FY2022</t>
  </si>
  <si>
    <t>FY2023</t>
  </si>
  <si>
    <t>FY2024</t>
  </si>
  <si>
    <t>1H2025</t>
  </si>
  <si>
    <t>FY2025E</t>
  </si>
  <si>
    <t>FY2026E</t>
  </si>
  <si>
    <t>FY2027E</t>
  </si>
  <si>
    <t>FY2028E</t>
  </si>
  <si>
    <t>FY2029E</t>
  </si>
  <si>
    <t>REVENUE GROWTH ASSUMPTIONS</t>
  </si>
  <si>
    <t xml:space="preserve">  Public Transport growth</t>
  </si>
  <si>
    <t xml:space="preserve">  Taxi and PHV growth</t>
  </si>
  <si>
    <t xml:space="preserve">  Other Private Transport growth</t>
  </si>
  <si>
    <t xml:space="preserve">  Inspection &amp; Testing growth</t>
  </si>
  <si>
    <t xml:space="preserve">  Other Segments growth</t>
  </si>
  <si>
    <t>MARGIN ASSUMPTIONS</t>
  </si>
  <si>
    <t xml:space="preserve">  Public Transport OP margin</t>
  </si>
  <si>
    <t xml:space="preserve">  Taxi/PHV OP margin</t>
  </si>
  <si>
    <t xml:space="preserve">  Other Private Transport OP margin</t>
  </si>
  <si>
    <t xml:space="preserve">  Inspection &amp; Testing OP margin</t>
  </si>
  <si>
    <t xml:space="preserve">  Other Segments OP margin</t>
  </si>
  <si>
    <t>BELOW-THE-LINE ASSUMPTIONS</t>
  </si>
  <si>
    <t xml:space="preserve">  D&amp;A / avg PP&amp;E</t>
  </si>
  <si>
    <t xml:space="preserve">  Capex / Revenue</t>
  </si>
  <si>
    <t xml:space="preserve">  Effective tax rate</t>
  </si>
  <si>
    <t xml:space="preserve">  NCI % of PAT</t>
  </si>
  <si>
    <t xml:space="preserve">  Net investment income (S$m)</t>
  </si>
  <si>
    <t xml:space="preserve">  Share of associates/JVs (S$m)</t>
  </si>
  <si>
    <t>WORKING CAPITAL ASSUMPTIONS</t>
  </si>
  <si>
    <t xml:space="preserve">  Receivables days</t>
  </si>
  <si>
    <t xml:space="preserve">  Inventory days</t>
  </si>
  <si>
    <t xml:space="preserve">  Payables days</t>
  </si>
  <si>
    <t xml:space="preserve">  Interest rate on borrowings</t>
  </si>
  <si>
    <t xml:space="preserve">  Lease interest rate (IFRS 16)</t>
  </si>
  <si>
    <t xml:space="preserve">  Net borrowing change (S$m)</t>
  </si>
  <si>
    <t xml:space="preserve">  Lease repayment (S$m)</t>
  </si>
  <si>
    <t xml:space="preserve">  New lease additions (S$m)</t>
  </si>
  <si>
    <t>DIVIDEND &amp; EQUITY ASSUMPTIONS</t>
  </si>
  <si>
    <t xml:space="preserve">  Payout ratio (% PATMI)</t>
  </si>
  <si>
    <t xml:space="preserve">  NCI dividends (S$m)</t>
  </si>
  <si>
    <t xml:space="preserve">  WA shares outstanding (m)</t>
  </si>
  <si>
    <t>VALUATION ASSUMPTIONS</t>
  </si>
  <si>
    <t xml:space="preserve">  WACC</t>
  </si>
  <si>
    <t xml:space="preserve">  Terminal growth rate</t>
  </si>
  <si>
    <t xml:space="preserve">  Disposal proceeds / capex</t>
  </si>
  <si>
    <t xml:space="preserve">  M&amp;A spend (S$m)</t>
  </si>
  <si>
    <t xml:space="preserve">  FX on cash (S$m)</t>
  </si>
  <si>
    <t>CONSOLIDATED INCOME STATEMENT</t>
  </si>
  <si>
    <t>(S$m)</t>
  </si>
  <si>
    <t>SEGMENT MODEL</t>
  </si>
  <si>
    <t>SEGMENT REVENUE</t>
  </si>
  <si>
    <t xml:space="preserve">  Public Transport Services</t>
  </si>
  <si>
    <t xml:space="preserve">  Taxi and PHV</t>
  </si>
  <si>
    <t xml:space="preserve">  Other Private Transport</t>
  </si>
  <si>
    <t xml:space="preserve">  Inspection &amp; Testing</t>
  </si>
  <si>
    <t xml:space="preserve">  Other Segments</t>
  </si>
  <si>
    <t>Total Revenue</t>
  </si>
  <si>
    <t xml:space="preserve">  YoY growth</t>
  </si>
  <si>
    <t>SEGMENT OPERATING PROFIT</t>
  </si>
  <si>
    <t>Total Operating Profit</t>
  </si>
  <si>
    <t xml:space="preserve">  OP margin</t>
  </si>
  <si>
    <t>SEGMENT OPERATING MARGIN</t>
  </si>
  <si>
    <t xml:space="preserve">  Public Transport</t>
  </si>
  <si>
    <t xml:space="preserve">  Taxi/PHV</t>
  </si>
  <si>
    <t>Revenue</t>
  </si>
  <si>
    <t>Total Operating Costs</t>
  </si>
  <si>
    <t>Operating Profit</t>
  </si>
  <si>
    <t>D&amp;A (memo)</t>
  </si>
  <si>
    <t>EBITDA</t>
  </si>
  <si>
    <t xml:space="preserve">  EBITDA margin</t>
  </si>
  <si>
    <t>Net Income from Investments</t>
  </si>
  <si>
    <t>Finance Costs</t>
  </si>
  <si>
    <t>Share of Associates/JVs</t>
  </si>
  <si>
    <t>Profit before Taxation</t>
  </si>
  <si>
    <t>Taxation</t>
  </si>
  <si>
    <t>Profit after Taxation</t>
  </si>
  <si>
    <t xml:space="preserve">  Attr. to NCI</t>
  </si>
  <si>
    <t>PATMI</t>
  </si>
  <si>
    <t>KEY METRICS</t>
  </si>
  <si>
    <t>EPS (cents)</t>
  </si>
  <si>
    <t>DPS (cents)</t>
  </si>
  <si>
    <t>Payout ratio</t>
  </si>
  <si>
    <t>Dividends to shareholders (S$m)</t>
  </si>
  <si>
    <t>Effective tax rate</t>
  </si>
  <si>
    <t>CAPEX &amp; DEPRECIATION SCHEDULE</t>
  </si>
  <si>
    <t>PP&amp;E ROLL-FORWARD</t>
  </si>
  <si>
    <t>Opening PP&amp;E</t>
  </si>
  <si>
    <t>+ Capex</t>
  </si>
  <si>
    <t>- Disposals</t>
  </si>
  <si>
    <t>- Depreciation</t>
  </si>
  <si>
    <t>+ Acquisitions/Adjustments</t>
  </si>
  <si>
    <t>Closing PP&amp;E</t>
  </si>
  <si>
    <t>Depreciation (D&amp;A)</t>
  </si>
  <si>
    <t>Capex</t>
  </si>
  <si>
    <t>Capex / Revenue</t>
  </si>
  <si>
    <t>DEBT &amp; LEASES SCHEDULE</t>
  </si>
  <si>
    <t>BORROWINGS</t>
  </si>
  <si>
    <t>Opening borrowings</t>
  </si>
  <si>
    <t>Net change in borrowings</t>
  </si>
  <si>
    <t>Closing borrowings</t>
  </si>
  <si>
    <t>LEASE LIABILITIES (IFRS 16)</t>
  </si>
  <si>
    <t>Opening lease liabilities</t>
  </si>
  <si>
    <t>New lease additions</t>
  </si>
  <si>
    <t>Lease repayments</t>
  </si>
  <si>
    <t>Closing lease liabilities</t>
  </si>
  <si>
    <t>TOTAL DEBT</t>
  </si>
  <si>
    <t>Total debt (borrowings + leases)</t>
  </si>
  <si>
    <t>Finance costs (interest expense)</t>
  </si>
  <si>
    <t xml:space="preserve">  o/w borrowing interest</t>
  </si>
  <si>
    <t xml:space="preserve">  o/w lease interest</t>
  </si>
  <si>
    <t>Net debt / (Net cash)</t>
  </si>
  <si>
    <t>CONSOLIDATED BALANCE SHEET</t>
  </si>
  <si>
    <t>ASSETS</t>
  </si>
  <si>
    <t>Cash and short-term deposits</t>
  </si>
  <si>
    <t>Trade and other receivables</t>
  </si>
  <si>
    <t>Inventories</t>
  </si>
  <si>
    <t>Other current assets</t>
  </si>
  <si>
    <t>PP&amp;E</t>
  </si>
  <si>
    <t>Goodwill</t>
  </si>
  <si>
    <t>Intangible assets</t>
  </si>
  <si>
    <t>Other non-current assets</t>
  </si>
  <si>
    <t>Total Assets</t>
  </si>
  <si>
    <t>LIABILITIES</t>
  </si>
  <si>
    <t>Borrowings</t>
  </si>
  <si>
    <t>Lease liabilities (IFRS 16)</t>
  </si>
  <si>
    <t>Trade and other payables</t>
  </si>
  <si>
    <t>Other liabilities</t>
  </si>
  <si>
    <t>Total Liabilities</t>
  </si>
  <si>
    <t>EQUITY</t>
  </si>
  <si>
    <t>Share capital &amp; reserves</t>
  </si>
  <si>
    <t>Retained earnings</t>
  </si>
  <si>
    <t>NCI</t>
  </si>
  <si>
    <t>Total Equity</t>
  </si>
  <si>
    <t>Total Liabilities + Equity</t>
  </si>
  <si>
    <t>Balance Check (Assets - L&amp;E)</t>
  </si>
  <si>
    <t>WORKING CAPITAL</t>
  </si>
  <si>
    <t>WORKING CAPITAL ITEMS</t>
  </si>
  <si>
    <t>Net working capital</t>
  </si>
  <si>
    <t>Change in NWC (neg = cash outflow)</t>
  </si>
  <si>
    <t>Working Capital / Revenue</t>
  </si>
  <si>
    <t>CASH FLOW STATEMENT</t>
  </si>
  <si>
    <t>OPERATING ACTIVITIES</t>
  </si>
  <si>
    <t>Profit after taxation</t>
  </si>
  <si>
    <t>+/- Other non-cash &amp; adjustments</t>
  </si>
  <si>
    <t>+/- Change in working capital</t>
  </si>
  <si>
    <t>Net cash from operations (CFO)</t>
  </si>
  <si>
    <t>INVESTING ACTIVITIES</t>
  </si>
  <si>
    <t>Disposal proceeds</t>
  </si>
  <si>
    <t>M&amp;A / acquisitions</t>
  </si>
  <si>
    <t>Net cash from investing</t>
  </si>
  <si>
    <t>FINANCING ACTIVITIES</t>
  </si>
  <si>
    <t>Net borrowings</t>
  </si>
  <si>
    <t>Dividends (shareholders)</t>
  </si>
  <si>
    <t>Dividends (NCI)</t>
  </si>
  <si>
    <t>Net cash from financing</t>
  </si>
  <si>
    <t>FX effect on cash</t>
  </si>
  <si>
    <t>Closing Cash</t>
  </si>
  <si>
    <t>Free Cash Flow (CFO - Capex)</t>
  </si>
  <si>
    <t>VALUATION</t>
  </si>
  <si>
    <t>DCF VALUATION</t>
  </si>
  <si>
    <t>Discount factor</t>
  </si>
  <si>
    <t>PV of FCF</t>
  </si>
  <si>
    <t>Sum of PV of FCFs</t>
  </si>
  <si>
    <t>Terminal FCF (FY2029 * (1+g))</t>
  </si>
  <si>
    <t>Terminal Value</t>
  </si>
  <si>
    <t>PV of Terminal Value</t>
  </si>
  <si>
    <t>Enterprise Value (EV)</t>
  </si>
  <si>
    <t>Less: Net debt (FY2024)</t>
  </si>
  <si>
    <t>Less: NCI</t>
  </si>
  <si>
    <t>Implied Equity Value</t>
  </si>
  <si>
    <t>Shares outstanding (m)</t>
  </si>
  <si>
    <t>Implied share price (S$)</t>
  </si>
  <si>
    <t>TRADING MULTIPLES</t>
  </si>
  <si>
    <t>EV/EBITDA</t>
  </si>
  <si>
    <t>P/E</t>
  </si>
  <si>
    <t>FCF Yield</t>
  </si>
  <si>
    <t>MODEL CHECKS</t>
  </si>
  <si>
    <t>Check</t>
  </si>
  <si>
    <t>Status</t>
  </si>
  <si>
    <t>Revenue = Sum of Segments</t>
  </si>
  <si>
    <t>OP = Sum of Segment OP</t>
  </si>
  <si>
    <t>Debt Roll Check</t>
  </si>
  <si>
    <t>Cash Reconciliation</t>
  </si>
  <si>
    <t>Circularity Flag</t>
  </si>
  <si>
    <t>None</t>
  </si>
  <si>
    <t>PASS</t>
  </si>
  <si>
    <t>OVERALL MODEL STATUS</t>
  </si>
  <si>
    <t>Other financing</t>
  </si>
  <si>
    <t>ComfortDelGro Corporation Limited — Equity &amp; Dividends Schedule</t>
  </si>
  <si>
    <t>(S$m unless noted)</t>
  </si>
  <si>
    <t>1H2025A</t>
  </si>
  <si>
    <t>SHARE CAPITAL &amp; RESERVES</t>
  </si>
  <si>
    <t>Share capital</t>
  </si>
  <si>
    <t>Treasury shares</t>
  </si>
  <si>
    <t>Other reserves &amp; FCTR</t>
  </si>
  <si>
    <t>RETAINED EARNINGS ROLL-FORWARD</t>
  </si>
  <si>
    <t>Opening retained earnings</t>
  </si>
  <si>
    <t>Closing retained earnings</t>
  </si>
  <si>
    <t>NCI ROLL-FORWARD</t>
  </si>
  <si>
    <t>Opening NCI</t>
  </si>
  <si>
    <t>Closing NCI</t>
  </si>
  <si>
    <t>TOTAL EQUITY</t>
  </si>
  <si>
    <t>+/- Other (transfers, ESAS)</t>
  </si>
  <si>
    <t>ComfortDelGro Corporation Limited — Goodwill &amp; Intangibles Schedule</t>
  </si>
  <si>
    <t>GOODWILL</t>
  </si>
  <si>
    <t>Opening goodwill</t>
  </si>
  <si>
    <t>Closing goodwill</t>
  </si>
  <si>
    <t>INTANGIBLE ASSETS</t>
  </si>
  <si>
    <t>Opening intangibles</t>
  </si>
  <si>
    <t>Closing intangibles</t>
  </si>
  <si>
    <t>Acquisitions</t>
  </si>
  <si>
    <t>Additions / acquisitions</t>
  </si>
  <si>
    <t>Amortisation</t>
  </si>
  <si>
    <t>ComfortDelGro Corporation Limited — Sensitivity Analysis</t>
  </si>
  <si>
    <t>TABLE 1: Implied Share Price — WACC vs Terminal Growth Rate</t>
  </si>
  <si>
    <t>Implied Share Price (S$)</t>
  </si>
  <si>
    <t>Terminal Growth →</t>
  </si>
  <si>
    <t>WACC: 7.0%</t>
  </si>
  <si>
    <t>WACC: 7.5%</t>
  </si>
  <si>
    <t>WACC: 8.0%</t>
  </si>
  <si>
    <t>WACC: 8.5%</t>
  </si>
  <si>
    <t>WACC: 9.0%</t>
  </si>
  <si>
    <t>INCOME STATEMENT</t>
  </si>
  <si>
    <t>D&amp;A</t>
  </si>
  <si>
    <t>PAT</t>
  </si>
  <si>
    <t>BALANCE SHEET</t>
  </si>
  <si>
    <t>CASH FLOW</t>
  </si>
  <si>
    <t>CFO</t>
  </si>
  <si>
    <t>FCF (CFO - Capex)</t>
  </si>
  <si>
    <t>ComfortDelGro Corporation Limited</t>
  </si>
  <si>
    <t>Integrated 3-Statement Financial Model</t>
  </si>
  <si>
    <t>FY2020 – FY2029E</t>
  </si>
  <si>
    <t>All figures in S$ millions unless stated otherwise</t>
  </si>
  <si>
    <t>Source: ComfortDelGro IR filings, SGX announcements</t>
  </si>
  <si>
    <t>Prepared: February 2026</t>
  </si>
  <si>
    <t>ComfortDelGro Corporation Limited — Model Disclosures</t>
  </si>
  <si>
    <t>DATA SOURCES</t>
  </si>
  <si>
    <t>All historical data sourced from official ComfortDelGro IR filings and SGX announcements (FY2020-FY2024, 1H2025)</t>
  </si>
  <si>
    <t>FORECAST METHODOLOGY</t>
  </si>
  <si>
    <t>Revenue: Bottom-up by segment using organic growth rates and M&amp;A full-year effects</t>
  </si>
  <si>
    <t>Margins: Segment-level operating margin assumptions applied to segment revenue</t>
  </si>
  <si>
    <t>D&amp;A: Percentage of average PP&amp;E; Capex as percentage of revenue</t>
  </si>
  <si>
    <t>Working Capital: Turnover-day based (receivables days, payables days, inventory days)</t>
  </si>
  <si>
    <t>Debt: Full roll-forward with separate bank debt and lease liabilities; interest on avg balance</t>
  </si>
  <si>
    <t>Cash Flow: Indirect method; CFO derived from PATMI + D&amp;A + WC changes</t>
  </si>
  <si>
    <t>KEY ASSUMPTIONS</t>
  </si>
  <si>
    <t>WACC: 8.0% | Terminal Growth: 2.0% | Effective Tax Rate: ~19.5% | Payout Ratio: 75%</t>
  </si>
  <si>
    <t>No M&amp;A assumed beyond FY2024 actuals; No share buybacks assumed</t>
  </si>
  <si>
    <t>ACCOUNTING STANDARDS</t>
  </si>
  <si>
    <t>SFRS(I) (Singapore Financial Reporting Standards, International); IFRS 16 lease treatment applied</t>
  </si>
  <si>
    <t>Fiscal year end: 31 December | Reporting currency: SGD</t>
  </si>
  <si>
    <t>Equity Roll Check</t>
  </si>
  <si>
    <t>Balance Sheet Check</t>
  </si>
  <si>
    <t>BS Check (Assets - Liabilities - Equity)</t>
  </si>
  <si>
    <t>DETAILED BALANCE SHEET</t>
  </si>
  <si>
    <t>Total current assets (reported)</t>
  </si>
  <si>
    <t>Total non-current liabilities (reported)</t>
  </si>
  <si>
    <t xml:space="preserve">  Other current assets / Revenue (%)</t>
  </si>
  <si>
    <t xml:space="preserve">  Other liabilities / Revenue (%)</t>
  </si>
  <si>
    <t>Intangible additions</t>
  </si>
  <si>
    <t>FREE CASH FLOW TO FIRM (FCFF) CALCULATION</t>
  </si>
  <si>
    <t>Operating Profit (EBIT)</t>
  </si>
  <si>
    <t>Taxes on EBIT</t>
  </si>
  <si>
    <t>NOPAT</t>
  </si>
  <si>
    <t>Unlevered Free Cash Flow (FCFF)</t>
  </si>
  <si>
    <t>Unlevered FCF (FCFF)</t>
  </si>
  <si>
    <t>ComfortDelGro Corporation Limited — Historical Financials (Restated for SFRS(I) INT 12)</t>
  </si>
  <si>
    <t>+ D&amp;A</t>
  </si>
  <si>
    <t>- Change in other current assets</t>
  </si>
  <si>
    <t>+ Change in other liabilities</t>
  </si>
  <si>
    <t>- Tax paid</t>
  </si>
  <si>
    <t>- Capex</t>
  </si>
  <si>
    <t>- Change in NWC</t>
  </si>
  <si>
    <t>+ PATMI</t>
  </si>
  <si>
    <t>- Dividends paid (shareholders)</t>
  </si>
  <si>
    <t>+ NCI share of PAT</t>
  </si>
  <si>
    <t>- NCI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</si>
</sst>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;\(#,##0.0\)"/>
    <numFmt numFmtId="167" formatCode="0.000"/>
    <numFmt numFmtId="168" formatCode="&quot;$&quot;#,##0.00"/>
    <numFmt numFmtId="169" formatCode="0.0\x"/>
    <numFmt numFmtId="170" formatCode="#,##0.0;\(#,##0.0\);&quot;-&quot;"/>
  </numFmts>
  <fonts count="29" x14ac:knownFonts="1">
    <font>
      <sz val="11"/>
      <color theme="1"/>
      <name val="Aptos Narrow"/>
      <family val="2"/>
      <scheme val="minor"/>
    </font>
    <font>
      <sz val="14"/>
      <color rgb="FFC0C0C0"/>
      <name val="Arial"/>
    </font>
    <font>
      <i/>
      <sz val="10"/>
      <color rgb="FFC0C0C0"/>
      <name val="Arial"/>
    </font>
    <font>
      <sz val="10"/>
      <color rgb="FF808080"/>
      <name val="Arial"/>
    </font>
    <font>
      <b/>
      <sz val="12"/>
      <color theme="1"/>
      <name val="Arial"/>
    </font>
    <font>
      <b/>
      <sz val="11"/>
      <color rgb="FFFFFFFF"/>
      <name val="Arial"/>
    </font>
    <font>
      <sz val="9"/>
      <color theme="1"/>
      <name val="Arial"/>
    </font>
    <font>
      <i/>
      <sz val="9"/>
      <color theme="1"/>
      <name val="Arial"/>
    </font>
    <font>
      <b/>
      <sz val="9"/>
      <color theme="1"/>
      <name val="Arial"/>
    </font>
    <font>
      <sz val="9"/>
      <color rgb="FF0000FF"/>
      <name val="Arial"/>
    </font>
    <font>
      <sz val="9"/>
      <color rgb="FF00800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9"/>
      <color rgb="FF0000FF"/>
      <name val="Arial"/>
    </font>
    <font>
      <b/>
      <i/>
      <sz val="9"/>
      <color theme="1"/>
      <name val="Arial"/>
    </font>
    <font>
      <b/>
      <u/>
      <sz val="9"/>
      <color theme="1"/>
      <name val="Arial"/>
    </font>
    <font>
      <b/>
      <sz val="9"/>
      <color rgb="FF0000FF"/>
      <name val="Arial"/>
    </font>
    <font>
      <b/>
      <sz val="9"/>
      <color rgb="FFFF0000"/>
      <name val="Arial"/>
    </font>
    <font>
      <b/>
      <u/>
      <sz val="9"/>
      <color rgb="FF0000FF"/>
      <name val="Arial"/>
    </font>
    <font>
      <b/>
      <sz val="9"/>
      <color rgb="FF008000"/>
      <name val="Arial"/>
    </font>
    <font>
      <b/>
      <sz val="11"/>
      <color theme="1"/>
      <name val="Arial"/>
    </font>
    <font>
      <i/>
      <sz val="8"/>
      <color theme="1"/>
      <name val="Arial"/>
    </font>
    <font>
      <b/>
      <sz val="11"/>
      <color rgb="FF008000"/>
      <name val="Arial"/>
    </font>
    <font>
      <b/>
      <i/>
      <sz val="8"/>
      <color theme="1"/>
      <name val="Arial"/>
    </font>
    <font>
      <b/>
      <sz val="18"/>
      <color rgb="FF1F4E79"/>
      <name val="Arial"/>
    </font>
    <font>
      <b/>
      <sz val="14"/>
      <color rgb="FF4472C4"/>
      <name val="Arial"/>
    </font>
    <font>
      <b/>
      <sz val="14"/>
      <color theme="1"/>
      <name val="Arial"/>
    </font>
    <font>
      <b/>
      <sz val="12"/>
      <color rgb="FF808080"/>
      <name val="Arial"/>
    </font>
    <font>
      <i/>
      <sz val="10"/>
      <color rgb="FF808080"/>
      <name val="Arial"/>
    </font>
  </fonts>
  <fills count="10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5" borderId="0" xfId="0" applyFont="1" applyFill="1"/>
    <xf numFmtId="0" fontId="0" fillId="5" borderId="0" xfId="0" applyFill="1"/>
    <xf numFmtId="164" fontId="9" fillId="0" borderId="0" xfId="0" applyNumberFormat="1" applyFont="1" applyAlignment="1">
      <alignment horizontal="center"/>
    </xf>
    <xf numFmtId="0" fontId="10" fillId="0" borderId="0" xfId="0" applyFont="1"/>
    <xf numFmtId="164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164" fontId="10" fillId="6" borderId="0" xfId="0" applyNumberFormat="1" applyFont="1" applyFill="1" applyAlignment="1">
      <alignment horizontal="center"/>
    </xf>
    <xf numFmtId="165" fontId="9" fillId="0" borderId="0" xfId="0" applyNumberFormat="1" applyFont="1"/>
    <xf numFmtId="165" fontId="6" fillId="0" borderId="0" xfId="0" applyNumberFormat="1" applyFont="1"/>
    <xf numFmtId="0" fontId="8" fillId="7" borderId="0" xfId="0" applyFont="1" applyFill="1"/>
    <xf numFmtId="165" fontId="8" fillId="7" borderId="0" xfId="0" applyNumberFormat="1" applyFont="1" applyFill="1"/>
    <xf numFmtId="164" fontId="7" fillId="0" borderId="0" xfId="0" applyNumberFormat="1" applyFont="1"/>
    <xf numFmtId="166" fontId="9" fillId="0" borderId="0" xfId="0" applyNumberFormat="1" applyFont="1"/>
    <xf numFmtId="164" fontId="6" fillId="0" borderId="0" xfId="0" applyNumberFormat="1" applyFont="1"/>
    <xf numFmtId="165" fontId="8" fillId="0" borderId="0" xfId="0" applyNumberFormat="1" applyFont="1"/>
    <xf numFmtId="166" fontId="6" fillId="0" borderId="0" xfId="0" applyNumberFormat="1" applyFont="1"/>
    <xf numFmtId="165" fontId="0" fillId="0" borderId="0" xfId="0" applyNumberFormat="1"/>
    <xf numFmtId="166" fontId="8" fillId="7" borderId="0" xfId="0" applyNumberFormat="1" applyFont="1" applyFill="1"/>
    <xf numFmtId="165" fontId="13" fillId="0" borderId="0" xfId="0" applyNumberFormat="1" applyFont="1"/>
    <xf numFmtId="165" fontId="7" fillId="0" borderId="0" xfId="0" applyNumberFormat="1" applyFont="1"/>
    <xf numFmtId="0" fontId="14" fillId="0" borderId="0" xfId="0" applyFont="1"/>
    <xf numFmtId="0" fontId="14" fillId="7" borderId="0" xfId="0" applyFont="1" applyFill="1"/>
    <xf numFmtId="0" fontId="14" fillId="3" borderId="0" xfId="0" applyFont="1" applyFill="1"/>
    <xf numFmtId="165" fontId="15" fillId="3" borderId="0" xfId="0" applyNumberFormat="1" applyFont="1" applyFill="1"/>
    <xf numFmtId="166" fontId="15" fillId="3" borderId="0" xfId="0" applyNumberFormat="1" applyFont="1" applyFill="1"/>
    <xf numFmtId="2" fontId="9" fillId="0" borderId="0" xfId="0" applyNumberFormat="1" applyFont="1"/>
    <xf numFmtId="2" fontId="6" fillId="0" borderId="0" xfId="0" applyNumberFormat="1" applyFont="1"/>
    <xf numFmtId="165" fontId="16" fillId="7" borderId="0" xfId="0" applyNumberFormat="1" applyFont="1" applyFill="1"/>
    <xf numFmtId="166" fontId="7" fillId="0" borderId="0" xfId="0" applyNumberFormat="1" applyFont="1"/>
    <xf numFmtId="165" fontId="8" fillId="3" borderId="0" xfId="0" applyNumberFormat="1" applyFont="1" applyFill="1"/>
    <xf numFmtId="166" fontId="8" fillId="3" borderId="0" xfId="0" applyNumberFormat="1" applyFont="1" applyFill="1"/>
    <xf numFmtId="165" fontId="10" fillId="0" borderId="0" xfId="0" applyNumberFormat="1" applyFont="1"/>
    <xf numFmtId="0" fontId="15" fillId="3" borderId="0" xfId="0" applyFont="1" applyFill="1"/>
    <xf numFmtId="0" fontId="17" fillId="0" borderId="0" xfId="0" applyFont="1"/>
    <xf numFmtId="165" fontId="17" fillId="0" borderId="0" xfId="0" applyNumberFormat="1" applyFont="1"/>
    <xf numFmtId="166" fontId="17" fillId="0" borderId="0" xfId="0" applyNumberFormat="1" applyFont="1"/>
    <xf numFmtId="166" fontId="16" fillId="7" borderId="0" xfId="0" applyNumberFormat="1" applyFont="1" applyFill="1"/>
    <xf numFmtId="165" fontId="18" fillId="3" borderId="0" xfId="0" applyNumberFormat="1" applyFont="1" applyFill="1"/>
    <xf numFmtId="166" fontId="8" fillId="0" borderId="0" xfId="0" applyNumberFormat="1" applyFont="1"/>
    <xf numFmtId="167" fontId="6" fillId="0" borderId="0" xfId="0" applyNumberFormat="1" applyFont="1"/>
    <xf numFmtId="0" fontId="8" fillId="6" borderId="0" xfId="0" applyFont="1" applyFill="1"/>
    <xf numFmtId="168" fontId="8" fillId="6" borderId="0" xfId="0" applyNumberFormat="1" applyFont="1" applyFill="1"/>
    <xf numFmtId="169" fontId="6" fillId="0" borderId="0" xfId="0" applyNumberFormat="1" applyFont="1"/>
    <xf numFmtId="0" fontId="8" fillId="5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20" fillId="5" borderId="0" xfId="0" applyFont="1" applyFill="1"/>
    <xf numFmtId="0" fontId="5" fillId="8" borderId="0" xfId="0" applyFont="1" applyFill="1"/>
    <xf numFmtId="0" fontId="21" fillId="0" borderId="0" xfId="0" applyFont="1"/>
    <xf numFmtId="170" fontId="9" fillId="0" borderId="0" xfId="0" applyNumberFormat="1" applyFont="1"/>
    <xf numFmtId="170" fontId="6" fillId="0" borderId="0" xfId="0" applyNumberFormat="1" applyFont="1"/>
    <xf numFmtId="170" fontId="10" fillId="0" borderId="0" xfId="0" applyNumberFormat="1" applyFont="1"/>
    <xf numFmtId="0" fontId="23" fillId="0" borderId="0" xfId="0" applyFont="1" applyAlignment="1">
      <alignment horizontal="right"/>
    </xf>
    <xf numFmtId="164" fontId="6" fillId="3" borderId="0" xfId="0" applyNumberFormat="1" applyFont="1" applyFill="1" applyAlignment="1">
      <alignment horizontal="center"/>
    </xf>
    <xf numFmtId="164" fontId="8" fillId="3" borderId="0" xfId="0" applyNumberFormat="1" applyFont="1" applyFill="1" applyAlignment="1">
      <alignment horizontal="center"/>
    </xf>
    <xf numFmtId="168" fontId="6" fillId="0" borderId="1" xfId="0" applyNumberFormat="1" applyFont="1" applyBorder="1"/>
    <xf numFmtId="168" fontId="8" fillId="6" borderId="1" xfId="0" applyNumberFormat="1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28" fillId="2" borderId="0" xfId="0" applyFont="1" applyFill="1"/>
    <xf numFmtId="164" fontId="9" fillId="5" borderId="0" xfId="0" applyNumberFormat="1" applyFont="1" applyFill="1" applyAlignment="1">
      <alignment horizontal="center"/>
    </xf>
    <xf numFmtId="164" fontId="10" fillId="5" borderId="0" xfId="0" applyNumberFormat="1" applyFont="1" applyFill="1" applyAlignment="1">
      <alignment horizontal="center"/>
    </xf>
    <xf numFmtId="170" fontId="8" fillId="7" borderId="0" xfId="0" applyNumberFormat="1" applyFont="1" applyFill="1"/>
    <xf numFmtId="170" fontId="8" fillId="3" borderId="0" xfId="0" applyNumberFormat="1" applyFont="1" applyFill="1"/>
    <xf numFmtId="0" fontId="19" fillId="9" borderId="0" xfId="0" applyFont="1" applyFill="1" applyAlignment="1">
      <alignment horizontal="center"/>
    </xf>
    <xf numFmtId="0" fontId="22" fillId="9" borderId="0" xfId="0" applyFont="1" applyFill="1" applyAlignment="1">
      <alignment horizontal="center"/>
    </xf>
    <xf numFmtId="0" fontId="6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F1B7A87-F670-4C47-ACBF-898B2143B65F}">
  <we:reference id="wa200009404" version="1.0.0.5" store="en-US" storeType="OMEX"/>
  <we:alternateReferences>
    <we:reference id="WA200009404" version="1.0.0.5" store="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7E08-C011-4FDE-90D9-4D029566A494}">
  <dimension ref="A1:H20"/>
  <sheetViews>
    <sheetView showGridLines="0" tabSelected="1" workbookViewId="0"/>
  </sheetViews>
  <sheetFormatPr defaultRowHeight="15" x14ac:dyDescent="0.25"/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23.25" x14ac:dyDescent="0.35">
      <c r="A4" s="73" t="s">
        <v>240</v>
      </c>
      <c r="B4" s="1"/>
      <c r="C4" s="1"/>
      <c r="D4" s="1"/>
      <c r="E4" s="1"/>
      <c r="F4" s="1"/>
      <c r="G4" s="1"/>
      <c r="H4" s="1"/>
    </row>
    <row r="5" spans="1:8" ht="18" x14ac:dyDescent="0.25">
      <c r="A5" s="74" t="s">
        <v>0</v>
      </c>
      <c r="B5" s="1"/>
      <c r="C5" s="1"/>
      <c r="D5" s="1"/>
      <c r="E5" s="1"/>
      <c r="F5" s="1"/>
      <c r="G5" s="1"/>
      <c r="H5" s="1"/>
    </row>
    <row r="6" spans="1:8" ht="18" x14ac:dyDescent="0.25">
      <c r="A6" s="2" t="s">
        <v>0</v>
      </c>
      <c r="B6" s="1"/>
      <c r="C6" s="1"/>
      <c r="D6" s="1"/>
      <c r="E6" s="1"/>
      <c r="F6" s="1"/>
      <c r="G6" s="1"/>
      <c r="H6" s="1"/>
    </row>
    <row r="7" spans="1:8" ht="18" x14ac:dyDescent="0.25">
      <c r="A7" s="75" t="s">
        <v>241</v>
      </c>
      <c r="B7" s="1"/>
      <c r="C7" s="1"/>
      <c r="D7" s="1"/>
      <c r="E7" s="1"/>
      <c r="F7" s="1"/>
      <c r="G7" s="1"/>
      <c r="H7" s="1"/>
    </row>
    <row r="8" spans="1:8" ht="15.75" x14ac:dyDescent="0.25">
      <c r="A8" s="76" t="s">
        <v>242</v>
      </c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4" t="s">
        <v>243</v>
      </c>
      <c r="B10" s="1"/>
      <c r="C10" s="1"/>
      <c r="D10" s="1"/>
      <c r="E10" s="1"/>
      <c r="F10" s="1"/>
      <c r="G10" s="1"/>
      <c r="H10" s="1"/>
    </row>
    <row r="11" spans="1:8" x14ac:dyDescent="0.25">
      <c r="A11" s="4" t="s">
        <v>244</v>
      </c>
      <c r="B11" s="1"/>
      <c r="C11" s="1"/>
      <c r="D11" s="1"/>
      <c r="E11" s="1"/>
      <c r="F11" s="1"/>
      <c r="G11" s="1"/>
      <c r="H11" s="1"/>
    </row>
    <row r="12" spans="1:8" x14ac:dyDescent="0.25">
      <c r="A12" s="77" t="s">
        <v>245</v>
      </c>
      <c r="B12" s="1"/>
      <c r="C12" s="1"/>
      <c r="D12" s="1"/>
      <c r="E12" s="1"/>
      <c r="F12" s="1"/>
      <c r="G12" s="1"/>
      <c r="H12" s="1"/>
    </row>
    <row r="13" spans="1:8" x14ac:dyDescent="0.25">
      <c r="A13" s="3" t="s">
        <v>1</v>
      </c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4" t="s">
        <v>2</v>
      </c>
      <c r="B16" s="1"/>
      <c r="C16" s="1"/>
      <c r="D16" s="1"/>
      <c r="E16" s="1"/>
      <c r="F16" s="1"/>
      <c r="G16" s="1"/>
      <c r="H16" s="1"/>
    </row>
    <row r="17" spans="1:8" x14ac:dyDescent="0.25">
      <c r="A17" s="4" t="s">
        <v>3</v>
      </c>
      <c r="B17" s="1"/>
      <c r="C17" s="1"/>
      <c r="D17" s="1"/>
      <c r="E17" s="1"/>
      <c r="F17" s="1"/>
      <c r="G17" s="1"/>
      <c r="H17" s="1"/>
    </row>
    <row r="18" spans="1:8" x14ac:dyDescent="0.25">
      <c r="A18" s="4" t="s">
        <v>4</v>
      </c>
      <c r="B18" s="1"/>
      <c r="C18" s="1"/>
      <c r="D18" s="1"/>
      <c r="E18" s="1"/>
      <c r="F18" s="1"/>
      <c r="G18" s="1"/>
      <c r="H18" s="1"/>
    </row>
    <row r="19" spans="1:8" x14ac:dyDescent="0.25">
      <c r="A19" s="4" t="s">
        <v>5</v>
      </c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962B-DB86-4921-B32C-9A880F88B358}">
  <dimension ref="A1:A20"/>
  <sheetViews>
    <sheetView showGridLines="0" workbookViewId="0"/>
  </sheetViews>
  <sheetFormatPr defaultRowHeight="15" x14ac:dyDescent="0.25"/>
  <cols>
    <col min="1" max="1" width="114.28515625" customWidth="1"/>
  </cols>
  <sheetData>
    <row r="1" spans="1:1" x14ac:dyDescent="0.25">
      <c r="A1" s="63" t="s">
        <v>246</v>
      </c>
    </row>
    <row r="3" spans="1:1" x14ac:dyDescent="0.25">
      <c r="A3" s="13" t="s">
        <v>247</v>
      </c>
    </row>
    <row r="4" spans="1:1" x14ac:dyDescent="0.25">
      <c r="A4" s="7" t="s">
        <v>248</v>
      </c>
    </row>
    <row r="6" spans="1:1" x14ac:dyDescent="0.25">
      <c r="A6" s="13" t="s">
        <v>249</v>
      </c>
    </row>
    <row r="7" spans="1:1" x14ac:dyDescent="0.25">
      <c r="A7" s="7" t="s">
        <v>250</v>
      </c>
    </row>
    <row r="8" spans="1:1" x14ac:dyDescent="0.25">
      <c r="A8" s="7" t="s">
        <v>251</v>
      </c>
    </row>
    <row r="9" spans="1:1" x14ac:dyDescent="0.25">
      <c r="A9" s="7" t="s">
        <v>252</v>
      </c>
    </row>
    <row r="10" spans="1:1" x14ac:dyDescent="0.25">
      <c r="A10" s="7" t="s">
        <v>253</v>
      </c>
    </row>
    <row r="11" spans="1:1" x14ac:dyDescent="0.25">
      <c r="A11" s="7" t="s">
        <v>254</v>
      </c>
    </row>
    <row r="12" spans="1:1" x14ac:dyDescent="0.25">
      <c r="A12" s="7" t="s">
        <v>255</v>
      </c>
    </row>
    <row r="14" spans="1:1" x14ac:dyDescent="0.25">
      <c r="A14" s="13" t="s">
        <v>256</v>
      </c>
    </row>
    <row r="15" spans="1:1" x14ac:dyDescent="0.25">
      <c r="A15" s="7" t="s">
        <v>257</v>
      </c>
    </row>
    <row r="16" spans="1:1" x14ac:dyDescent="0.25">
      <c r="A16" s="7" t="s">
        <v>258</v>
      </c>
    </row>
    <row r="18" spans="1:1" x14ac:dyDescent="0.25">
      <c r="A18" s="13" t="s">
        <v>259</v>
      </c>
    </row>
    <row r="19" spans="1:1" x14ac:dyDescent="0.25">
      <c r="A19" s="7" t="s">
        <v>260</v>
      </c>
    </row>
    <row r="20" spans="1:1" x14ac:dyDescent="0.25">
      <c r="A20" s="7" t="s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3000F-DAD9-4A4C-8965-161C5CBD7B25}">
  <dimension ref="A1:L49"/>
  <sheetViews>
    <sheetView showGridLines="0" zoomScaleNormal="10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ht="15.75" x14ac:dyDescent="0.25">
      <c r="A1" s="5">
        <v>0.03</v>
      </c>
    </row>
    <row r="2" spans="1:12" x14ac:dyDescent="0.25">
      <c r="A2" s="6" t="s">
        <v>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8" t="s">
        <v>8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 x14ac:dyDescent="0.25">
      <c r="A5" s="13" t="s">
        <v>20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5">
      <c r="A6" s="7" t="s">
        <v>21</v>
      </c>
      <c r="B6" s="15">
        <f>Segment_Model!C12</f>
        <v>8.0244248442607802E-2</v>
      </c>
      <c r="C6" s="15">
        <f>(Segment_Model!C6-Segment_Model!B6)/Segment_Model!B6</f>
        <v>8.9669193951459114E-2</v>
      </c>
      <c r="D6" s="15">
        <f>(Segment_Model!D6-Segment_Model!C6)/Segment_Model!C6</f>
        <v>0.12205550804633446</v>
      </c>
      <c r="E6" s="15">
        <f>(3107.5-2959.3)/2959.3</f>
        <v>5.0079410671442504E-2</v>
      </c>
      <c r="G6" s="17">
        <v>0.04</v>
      </c>
      <c r="H6" s="17">
        <v>0.05</v>
      </c>
      <c r="I6" s="17">
        <v>3.5000000000000003E-2</v>
      </c>
      <c r="J6" s="17">
        <v>0.03</v>
      </c>
      <c r="K6" s="17">
        <v>0.03</v>
      </c>
      <c r="L6" s="17">
        <v>0.03</v>
      </c>
    </row>
    <row r="7" spans="1:12" x14ac:dyDescent="0.25">
      <c r="A7" s="7" t="s">
        <v>22</v>
      </c>
      <c r="B7" s="15">
        <f>(Segment_Model!C7-Segment_Model!B7)/Segment_Model!B7</f>
        <v>5.8926233085988405E-3</v>
      </c>
      <c r="C7" s="15">
        <f>(Segment_Model!C7-Segment_Model!B7)/Segment_Model!B7</f>
        <v>5.8926233085988405E-3</v>
      </c>
      <c r="D7" s="15">
        <f>(Segment_Model!D7-Segment_Model!C7)/Segment_Model!C7</f>
        <v>0.20373182903015835</v>
      </c>
      <c r="E7" s="15">
        <f>(748.7-574.7)/574.7</f>
        <v>0.30276666086653903</v>
      </c>
      <c r="G7" s="17">
        <v>0.35</v>
      </c>
      <c r="H7" s="17">
        <v>0.35</v>
      </c>
      <c r="I7" s="17">
        <v>0.03</v>
      </c>
      <c r="J7" s="17">
        <v>0.03</v>
      </c>
      <c r="K7" s="17">
        <v>2.5000000000000001E-2</v>
      </c>
      <c r="L7" s="17">
        <v>2.5000000000000001E-2</v>
      </c>
    </row>
    <row r="8" spans="1:12" x14ac:dyDescent="0.25">
      <c r="A8" s="7" t="s">
        <v>23</v>
      </c>
      <c r="B8" s="15">
        <f>(Segment_Model!C8-Segment_Model!B8)/Segment_Model!B8</f>
        <v>0.49292929292929305</v>
      </c>
      <c r="C8" s="15">
        <f>(Segment_Model!C8-Segment_Model!B8)/Segment_Model!B8</f>
        <v>0.49292929292929305</v>
      </c>
      <c r="D8" s="15">
        <f>(Segment_Model!D8-Segment_Model!C8)/Segment_Model!C8</f>
        <v>1.0230040595399186</v>
      </c>
      <c r="E8" s="15">
        <f>(406.2-143.8)/143.8</f>
        <v>1.8247566063977745</v>
      </c>
      <c r="G8" s="17">
        <v>0.06</v>
      </c>
      <c r="H8" s="17">
        <v>0.15</v>
      </c>
      <c r="I8" s="17">
        <v>3.5000000000000003E-2</v>
      </c>
      <c r="J8" s="17">
        <v>0.03</v>
      </c>
      <c r="K8" s="17">
        <v>0.03</v>
      </c>
      <c r="L8" s="17">
        <v>0.03</v>
      </c>
    </row>
    <row r="9" spans="1:12" x14ac:dyDescent="0.25">
      <c r="A9" s="7" t="s">
        <v>24</v>
      </c>
      <c r="B9" s="15">
        <f>(Segment_Model!C9-Segment_Model!B9)/Segment_Model!B9</f>
        <v>3.1948881789137379E-2</v>
      </c>
      <c r="C9" s="15">
        <f>(Segment_Model!C9-Segment_Model!B9)/Segment_Model!B9</f>
        <v>3.1948881789137379E-2</v>
      </c>
      <c r="D9" s="15">
        <f>(Segment_Model!D9-Segment_Model!C9)/Segment_Model!C9</f>
        <v>9.3911248710010262E-2</v>
      </c>
      <c r="E9" s="15">
        <f>(117-109.5)/109.5</f>
        <v>6.8493150684931503E-2</v>
      </c>
      <c r="G9" s="17">
        <v>0.08</v>
      </c>
      <c r="H9" s="17">
        <v>0.05</v>
      </c>
      <c r="I9" s="17">
        <v>0.04</v>
      </c>
      <c r="J9" s="17">
        <v>0.03</v>
      </c>
      <c r="K9" s="17">
        <v>0.03</v>
      </c>
      <c r="L9" s="17">
        <v>0.03</v>
      </c>
    </row>
    <row r="10" spans="1:12" x14ac:dyDescent="0.25">
      <c r="A10" s="7" t="s">
        <v>25</v>
      </c>
      <c r="B10" s="15">
        <f>(Segment_Model!C10-Segment_Model!B10)/Segment_Model!B10</f>
        <v>6.5690824705462253E-2</v>
      </c>
      <c r="C10" s="15">
        <f>(Segment_Model!C10-Segment_Model!B10)/Segment_Model!B10</f>
        <v>6.5690824705462253E-2</v>
      </c>
      <c r="D10" s="15">
        <f>(Segment_Model!D10-Segment_Model!C10)/Segment_Model!C10</f>
        <v>-0.71892797319932999</v>
      </c>
      <c r="E10" s="15">
        <f>(97.1-93)/93</f>
        <v>4.4086021505376286E-2</v>
      </c>
      <c r="G10" s="17">
        <v>0.03</v>
      </c>
      <c r="H10" s="17">
        <v>0.02</v>
      </c>
      <c r="I10" s="17">
        <v>0.02</v>
      </c>
      <c r="J10" s="17">
        <v>0.02</v>
      </c>
      <c r="K10" s="17">
        <v>0.02</v>
      </c>
      <c r="L10" s="17">
        <v>0.02</v>
      </c>
    </row>
    <row r="12" spans="1:12" x14ac:dyDescent="0.25">
      <c r="A12" s="13" t="s">
        <v>26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5">
      <c r="A13" s="7" t="s">
        <v>27</v>
      </c>
      <c r="B13" s="15">
        <v>1.4999999999999999E-2</v>
      </c>
      <c r="C13" s="15">
        <f>Segment_Model!C24</f>
        <v>3.8987794449195368E-2</v>
      </c>
      <c r="D13" s="15">
        <f>Segment_Model!D24</f>
        <v>5.6502459641100254E-2</v>
      </c>
      <c r="E13" s="15">
        <v>4.1000000000000002E-2</v>
      </c>
      <c r="F13" s="15">
        <v>4.2000000000000003E-2</v>
      </c>
      <c r="G13" s="17">
        <v>4.4999999999999998E-2</v>
      </c>
      <c r="H13" s="17">
        <v>4.5999999999999999E-2</v>
      </c>
      <c r="I13" s="17">
        <v>4.7E-2</v>
      </c>
      <c r="J13" s="17">
        <v>4.8000000000000001E-2</v>
      </c>
      <c r="K13" s="17">
        <v>4.8000000000000001E-2</v>
      </c>
      <c r="L13" s="17">
        <v>4.8000000000000001E-2</v>
      </c>
    </row>
    <row r="14" spans="1:12" x14ac:dyDescent="0.25">
      <c r="A14" s="7" t="s">
        <v>28</v>
      </c>
      <c r="B14" s="15">
        <v>7.2999999999999995E-2</v>
      </c>
      <c r="C14" s="15">
        <f>Segment_Model!C25</f>
        <v>0.11607724018225211</v>
      </c>
      <c r="D14" s="15">
        <f>Segment_Model!D25</f>
        <v>0.12058399423215575</v>
      </c>
      <c r="E14" s="15">
        <v>0.186</v>
      </c>
      <c r="F14" s="15">
        <v>0.18099999999999999</v>
      </c>
      <c r="G14" s="17">
        <v>0.14000000000000001</v>
      </c>
      <c r="H14" s="17">
        <v>0.15</v>
      </c>
      <c r="I14" s="17">
        <v>0.155</v>
      </c>
      <c r="J14" s="17">
        <v>0.16</v>
      </c>
      <c r="K14" s="17">
        <v>0.16500000000000001</v>
      </c>
      <c r="L14" s="17">
        <v>0.16500000000000001</v>
      </c>
    </row>
    <row r="15" spans="1:12" x14ac:dyDescent="0.25">
      <c r="A15" s="7" t="s">
        <v>29</v>
      </c>
      <c r="B15" s="15">
        <v>0.45900000000000002</v>
      </c>
      <c r="C15" s="15">
        <f>Segment_Model!C26</f>
        <v>0.16238159675236805</v>
      </c>
      <c r="D15" s="15">
        <f>Segment_Model!D26</f>
        <v>-3.6120401337792644E-2</v>
      </c>
      <c r="E15" s="15">
        <v>-1.0999999999999999E-2</v>
      </c>
      <c r="F15" s="15">
        <v>4.2000000000000003E-2</v>
      </c>
      <c r="G15" s="17">
        <v>4.4999999999999998E-2</v>
      </c>
      <c r="H15" s="17">
        <v>0.05</v>
      </c>
      <c r="I15" s="17">
        <v>5.5E-2</v>
      </c>
      <c r="J15" s="17">
        <v>5.5E-2</v>
      </c>
      <c r="K15" s="17">
        <v>5.5E-2</v>
      </c>
      <c r="L15" s="17">
        <v>5.5E-2</v>
      </c>
    </row>
    <row r="16" spans="1:12" x14ac:dyDescent="0.25">
      <c r="A16" s="7" t="s">
        <v>30</v>
      </c>
      <c r="B16" s="15">
        <v>0.13300000000000001</v>
      </c>
      <c r="C16" s="15">
        <f>Segment_Model!C27</f>
        <v>0.14963880288957687</v>
      </c>
      <c r="D16" s="15">
        <f>Segment_Model!D27</f>
        <v>0.30754716981132074</v>
      </c>
      <c r="E16" s="15">
        <v>0.30099999999999999</v>
      </c>
      <c r="F16" s="15">
        <v>0.29599999999999999</v>
      </c>
      <c r="G16" s="17">
        <v>0.28000000000000003</v>
      </c>
      <c r="H16" s="17">
        <v>0.27</v>
      </c>
      <c r="I16" s="17">
        <v>0.26</v>
      </c>
      <c r="J16" s="17">
        <v>0.25</v>
      </c>
      <c r="K16" s="17">
        <v>0.25</v>
      </c>
      <c r="L16" s="17">
        <v>0.25</v>
      </c>
    </row>
    <row r="17" spans="1:12" x14ac:dyDescent="0.25">
      <c r="A17" s="7" t="s">
        <v>31</v>
      </c>
      <c r="B17" s="15">
        <v>6.3E-2</v>
      </c>
      <c r="C17" s="15">
        <f>Segment_Model!C28</f>
        <v>6.5326633165829151E-2</v>
      </c>
      <c r="D17" s="15">
        <f>Segment_Model!D28</f>
        <v>0.15256257449344457</v>
      </c>
      <c r="E17" s="15">
        <v>0.14599999999999999</v>
      </c>
      <c r="F17" s="15">
        <v>6.3E-2</v>
      </c>
      <c r="G17" s="17">
        <v>0.06</v>
      </c>
      <c r="H17" s="17">
        <v>0.06</v>
      </c>
      <c r="I17" s="17">
        <v>0.06</v>
      </c>
      <c r="J17" s="17">
        <v>0.06</v>
      </c>
      <c r="K17" s="17">
        <v>0.06</v>
      </c>
      <c r="L17" s="17">
        <v>0.06</v>
      </c>
    </row>
    <row r="19" spans="1:12" x14ac:dyDescent="0.25">
      <c r="A19" s="13" t="s">
        <v>32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x14ac:dyDescent="0.25">
      <c r="A20" s="7" t="s">
        <v>33</v>
      </c>
      <c r="G20" s="17">
        <v>0.16500000000000001</v>
      </c>
      <c r="H20" s="17">
        <v>0.16500000000000001</v>
      </c>
      <c r="I20" s="17">
        <v>0.16</v>
      </c>
      <c r="J20" s="17">
        <v>0.155</v>
      </c>
      <c r="K20" s="17">
        <v>0.155</v>
      </c>
      <c r="L20" s="17">
        <v>0.155</v>
      </c>
    </row>
    <row r="21" spans="1:12" x14ac:dyDescent="0.25">
      <c r="A21" s="7" t="s">
        <v>34</v>
      </c>
      <c r="B21" s="15">
        <v>6.0999999999999999E-2</v>
      </c>
      <c r="C21" s="15">
        <v>6.4000000000000001E-2</v>
      </c>
      <c r="D21" s="15">
        <v>0.08</v>
      </c>
      <c r="E21" s="15">
        <v>9.5000000000000001E-2</v>
      </c>
      <c r="F21" s="15">
        <v>9.9000000000000005E-2</v>
      </c>
      <c r="G21" s="17">
        <v>0.09</v>
      </c>
      <c r="H21" s="17">
        <v>8.5000000000000006E-2</v>
      </c>
      <c r="I21" s="17">
        <v>0.08</v>
      </c>
      <c r="J21" s="17">
        <v>7.4999999999999997E-2</v>
      </c>
      <c r="K21" s="17">
        <v>7.4999999999999997E-2</v>
      </c>
      <c r="L21" s="17">
        <v>7.4999999999999997E-2</v>
      </c>
    </row>
    <row r="22" spans="1:12" x14ac:dyDescent="0.25">
      <c r="A22" s="7" t="s">
        <v>35</v>
      </c>
      <c r="B22" s="15">
        <v>0.20799999999999999</v>
      </c>
      <c r="C22" s="15">
        <f>-Income_Statement!C17/Income_Statement!C16</f>
        <v>0.21468926553672296</v>
      </c>
      <c r="D22" s="15">
        <v>0.19900000000000001</v>
      </c>
      <c r="E22" s="15">
        <v>0.19600000000000001</v>
      </c>
      <c r="F22" s="15">
        <v>0.19500000000000001</v>
      </c>
      <c r="G22" s="17">
        <v>0.19500000000000001</v>
      </c>
      <c r="H22" s="17">
        <v>0.19500000000000001</v>
      </c>
      <c r="I22" s="17">
        <v>0.19500000000000001</v>
      </c>
      <c r="J22" s="17">
        <v>0.19500000000000001</v>
      </c>
      <c r="K22" s="17">
        <v>0.19500000000000001</v>
      </c>
      <c r="L22" s="17">
        <v>0.19500000000000001</v>
      </c>
    </row>
    <row r="23" spans="1:12" x14ac:dyDescent="0.25">
      <c r="A23" s="7" t="s">
        <v>36</v>
      </c>
      <c r="B23" s="15">
        <f>30.9/91.7</f>
        <v>0.33696837513631406</v>
      </c>
      <c r="C23" s="15">
        <f>-Income_Statement!C19/Income_Statement!C18</f>
        <v>0.19555264879005865</v>
      </c>
      <c r="D23" s="15">
        <f>45.4/218.5</f>
        <v>0.20778032036613273</v>
      </c>
      <c r="E23" s="15">
        <f>44.5/225</f>
        <v>0.19777777777777777</v>
      </c>
      <c r="F23" s="15">
        <f>45.2/255.7</f>
        <v>0.17676965193586236</v>
      </c>
      <c r="G23" s="17">
        <v>0.17</v>
      </c>
      <c r="H23" s="17">
        <v>0.16</v>
      </c>
      <c r="I23" s="17">
        <v>0.15</v>
      </c>
      <c r="J23" s="17">
        <v>0.15</v>
      </c>
      <c r="K23" s="17">
        <v>0.15</v>
      </c>
      <c r="L23" s="17">
        <v>0.15</v>
      </c>
    </row>
    <row r="24" spans="1:12" x14ac:dyDescent="0.25">
      <c r="A24" s="7" t="s">
        <v>37</v>
      </c>
      <c r="B24" s="18">
        <v>8.8000000000000007</v>
      </c>
      <c r="C24" s="18">
        <v>6.1</v>
      </c>
      <c r="D24" s="18">
        <v>15.2</v>
      </c>
      <c r="E24" s="18">
        <v>29.4</v>
      </c>
      <c r="F24" s="18">
        <v>31.7</v>
      </c>
      <c r="G24" s="19">
        <v>25</v>
      </c>
      <c r="H24" s="19">
        <v>28</v>
      </c>
      <c r="I24" s="19">
        <v>28</v>
      </c>
      <c r="J24" s="19">
        <v>28</v>
      </c>
      <c r="K24" s="19">
        <v>28</v>
      </c>
      <c r="L24" s="19">
        <v>28</v>
      </c>
    </row>
    <row r="25" spans="1:12" x14ac:dyDescent="0.25">
      <c r="A25" s="7" t="s">
        <v>38</v>
      </c>
      <c r="B25" s="18">
        <v>0</v>
      </c>
      <c r="C25" s="18">
        <v>0.1</v>
      </c>
      <c r="D25" s="18">
        <v>0.8</v>
      </c>
      <c r="E25" s="18">
        <v>1.4</v>
      </c>
      <c r="F25" s="18">
        <v>1.8</v>
      </c>
      <c r="G25" s="19">
        <v>2</v>
      </c>
      <c r="H25" s="19">
        <v>2.5</v>
      </c>
      <c r="I25" s="19">
        <v>3</v>
      </c>
      <c r="J25" s="19">
        <v>3</v>
      </c>
      <c r="K25" s="19">
        <v>3</v>
      </c>
      <c r="L25" s="19">
        <v>3</v>
      </c>
    </row>
    <row r="27" spans="1:12" x14ac:dyDescent="0.25">
      <c r="A27" s="13" t="s">
        <v>39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25">
      <c r="A28" s="7" t="s">
        <v>40</v>
      </c>
      <c r="B28" s="20">
        <f>589/3242.6*365</f>
        <v>66.300191204588913</v>
      </c>
      <c r="C28" s="20">
        <f>569.8/3502.8*365</f>
        <v>59.374500399680251</v>
      </c>
      <c r="D28" s="20">
        <f>476.7/3780.8*365</f>
        <v>46.020815700380865</v>
      </c>
      <c r="E28" s="20">
        <f>532.7/3880.3*365</f>
        <v>50.108367909697705</v>
      </c>
      <c r="F28" s="20">
        <f>725.7/4476.5*365</f>
        <v>59.171339215905284</v>
      </c>
      <c r="G28" s="21">
        <v>55</v>
      </c>
      <c r="H28" s="21">
        <v>53</v>
      </c>
      <c r="I28" s="21">
        <v>52</v>
      </c>
      <c r="J28" s="21">
        <v>50</v>
      </c>
      <c r="K28" s="21">
        <v>50</v>
      </c>
      <c r="L28" s="21">
        <v>50</v>
      </c>
    </row>
    <row r="29" spans="1:12" x14ac:dyDescent="0.25">
      <c r="A29" s="7" t="s">
        <v>41</v>
      </c>
      <c r="B29" s="20">
        <f>127.9/3242.6*365</f>
        <v>14.396934558687473</v>
      </c>
      <c r="C29" s="20">
        <f>116.9/3502.8*365</f>
        <v>12.181254996003199</v>
      </c>
      <c r="D29" s="20">
        <f>120.1/3780.8*365</f>
        <v>11.594503808717731</v>
      </c>
      <c r="E29" s="20">
        <f>141.7/3880.3*365</f>
        <v>13.32899518078499</v>
      </c>
      <c r="F29" s="20">
        <f>158/4476.5*365</f>
        <v>12.882832570088238</v>
      </c>
      <c r="G29" s="21">
        <v>13</v>
      </c>
      <c r="H29" s="21">
        <v>13</v>
      </c>
      <c r="I29" s="21">
        <v>12</v>
      </c>
      <c r="J29" s="21">
        <v>12</v>
      </c>
      <c r="K29" s="21">
        <v>12</v>
      </c>
      <c r="L29" s="21">
        <v>12</v>
      </c>
    </row>
    <row r="30" spans="1:12" x14ac:dyDescent="0.25">
      <c r="A30" s="7" t="s">
        <v>42</v>
      </c>
      <c r="B30" s="20">
        <f>675/3242.6*365</f>
        <v>75.980694504410053</v>
      </c>
      <c r="C30" s="20">
        <f>775.6/3502.8*365</f>
        <v>80.819344524380497</v>
      </c>
      <c r="D30" s="20">
        <f>832.2/3780.8*365</f>
        <v>80.340933135844267</v>
      </c>
      <c r="E30" s="20">
        <f>807.4/3880.3*365</f>
        <v>75.947993711826399</v>
      </c>
      <c r="F30" s="20">
        <f>1001.1/4476.5*365</f>
        <v>81.626605607059091</v>
      </c>
      <c r="G30" s="21">
        <v>78</v>
      </c>
      <c r="H30" s="21">
        <v>76</v>
      </c>
      <c r="I30" s="21">
        <v>75</v>
      </c>
      <c r="J30" s="21">
        <v>74</v>
      </c>
      <c r="K30" s="21">
        <v>74</v>
      </c>
      <c r="L30" s="21">
        <v>74</v>
      </c>
    </row>
    <row r="31" spans="1:12" x14ac:dyDescent="0.25">
      <c r="A31" s="7" t="s">
        <v>268</v>
      </c>
      <c r="B31" s="15">
        <f>Balance_Sheet!B9/Income_Statement!B5</f>
        <v>0</v>
      </c>
      <c r="C31" s="15">
        <f>Balance_Sheet!C9/Income_Statement!C5</f>
        <v>4.2251912755509879E-3</v>
      </c>
      <c r="D31" s="15">
        <f>Balance_Sheet!D9/Income_Statement!D5</f>
        <v>2.1397587812103276E-2</v>
      </c>
      <c r="E31" s="15">
        <f>Balance_Sheet!E9/Income_Statement!E5</f>
        <v>2.133855629719349E-2</v>
      </c>
      <c r="F31" s="15">
        <f>Balance_Sheet!F9/Income_Statement!F5</f>
        <v>2.7476823411147076E-2</v>
      </c>
      <c r="G31" s="17">
        <f>AVERAGE(B31:F31)</f>
        <v>1.4887631759198966E-2</v>
      </c>
      <c r="H31" s="17">
        <f t="shared" ref="H31:L32" si="0">G31</f>
        <v>1.4887631759198966E-2</v>
      </c>
      <c r="I31" s="17">
        <f t="shared" si="0"/>
        <v>1.4887631759198966E-2</v>
      </c>
      <c r="J31" s="17">
        <f t="shared" si="0"/>
        <v>1.4887631759198966E-2</v>
      </c>
      <c r="K31" s="17">
        <f t="shared" si="0"/>
        <v>1.4887631759198966E-2</v>
      </c>
      <c r="L31" s="17">
        <f t="shared" si="0"/>
        <v>1.4887631759198966E-2</v>
      </c>
    </row>
    <row r="32" spans="1:12" x14ac:dyDescent="0.25">
      <c r="A32" s="13" t="s">
        <v>269</v>
      </c>
      <c r="B32" s="78">
        <f>Balance_Sheet!B20/Income_Statement!B5</f>
        <v>0.170295441929316</v>
      </c>
      <c r="C32" s="78">
        <f>Balance_Sheet!C20/Income_Statement!C5</f>
        <v>0.13437821171634121</v>
      </c>
      <c r="D32" s="78">
        <f>Balance_Sheet!D20/Income_Statement!D5</f>
        <v>0.10130131189166315</v>
      </c>
      <c r="E32" s="78">
        <f>Balance_Sheet!E20/Income_Statement!E5</f>
        <v>9.0018812978377979E-2</v>
      </c>
      <c r="F32" s="78">
        <f>Balance_Sheet!F20/Income_Statement!F5</f>
        <v>8.3435719870434466E-2</v>
      </c>
      <c r="G32" s="79">
        <f>AVERAGE(D32:F32)</f>
        <v>9.1585281580158537E-2</v>
      </c>
      <c r="H32" s="79">
        <f t="shared" si="0"/>
        <v>9.1585281580158537E-2</v>
      </c>
      <c r="I32" s="79">
        <f t="shared" si="0"/>
        <v>9.1585281580158537E-2</v>
      </c>
      <c r="J32" s="79">
        <f t="shared" si="0"/>
        <v>9.1585281580158537E-2</v>
      </c>
      <c r="K32" s="79">
        <f t="shared" si="0"/>
        <v>9.1585281580158537E-2</v>
      </c>
      <c r="L32" s="79">
        <f t="shared" si="0"/>
        <v>9.1585281580158537E-2</v>
      </c>
    </row>
    <row r="33" spans="1:12" x14ac:dyDescent="0.25">
      <c r="A33" s="7" t="s">
        <v>43</v>
      </c>
      <c r="G33" s="17">
        <v>0.04</v>
      </c>
      <c r="H33" s="17">
        <v>0.04</v>
      </c>
      <c r="I33" s="17">
        <v>3.7999999999999999E-2</v>
      </c>
      <c r="J33" s="17">
        <v>3.5000000000000003E-2</v>
      </c>
      <c r="K33" s="17">
        <v>3.5000000000000003E-2</v>
      </c>
      <c r="L33" s="17">
        <v>3.5000000000000003E-2</v>
      </c>
    </row>
    <row r="34" spans="1:12" x14ac:dyDescent="0.25">
      <c r="A34" s="7" t="s">
        <v>44</v>
      </c>
      <c r="G34" s="17">
        <v>3.5000000000000003E-2</v>
      </c>
      <c r="H34" s="17">
        <v>3.5000000000000003E-2</v>
      </c>
      <c r="I34" s="17">
        <v>3.5000000000000003E-2</v>
      </c>
      <c r="J34" s="17">
        <v>3.5000000000000003E-2</v>
      </c>
      <c r="K34" s="17">
        <v>3.5000000000000003E-2</v>
      </c>
      <c r="L34" s="17">
        <v>3.5000000000000003E-2</v>
      </c>
    </row>
    <row r="35" spans="1:12" x14ac:dyDescent="0.25">
      <c r="A35" s="7" t="s">
        <v>45</v>
      </c>
      <c r="G35" s="22">
        <v>-100</v>
      </c>
      <c r="H35" s="22">
        <v>-100</v>
      </c>
      <c r="I35" s="22">
        <v>-80</v>
      </c>
      <c r="J35" s="22">
        <v>-60</v>
      </c>
      <c r="K35" s="22">
        <v>-50</v>
      </c>
      <c r="L35" s="22">
        <v>-50</v>
      </c>
    </row>
    <row r="36" spans="1:12" x14ac:dyDescent="0.25">
      <c r="A36" s="7" t="s">
        <v>46</v>
      </c>
      <c r="B36" s="18">
        <v>-30.8</v>
      </c>
      <c r="C36" s="18">
        <v>-30.6</v>
      </c>
      <c r="D36" s="18">
        <v>-42.2</v>
      </c>
      <c r="E36" s="18">
        <v>-45</v>
      </c>
      <c r="F36" s="18">
        <v>-42.6</v>
      </c>
      <c r="G36" s="19">
        <v>-60</v>
      </c>
      <c r="H36" s="19">
        <v>-60</v>
      </c>
      <c r="I36" s="19">
        <v>-55</v>
      </c>
      <c r="J36" s="19">
        <v>-55</v>
      </c>
      <c r="K36" s="19">
        <v>-55</v>
      </c>
      <c r="L36" s="19">
        <v>-55</v>
      </c>
    </row>
    <row r="37" spans="1:12" x14ac:dyDescent="0.25">
      <c r="A37" s="7" t="s">
        <v>47</v>
      </c>
      <c r="G37" s="19">
        <v>50</v>
      </c>
      <c r="H37" s="19">
        <v>50</v>
      </c>
      <c r="I37" s="19">
        <v>45</v>
      </c>
      <c r="J37" s="19">
        <v>45</v>
      </c>
      <c r="K37" s="19">
        <v>45</v>
      </c>
      <c r="L37" s="19">
        <v>45</v>
      </c>
    </row>
    <row r="39" spans="1:12" x14ac:dyDescent="0.25">
      <c r="A39" s="13" t="s">
        <v>48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7" t="s">
        <v>49</v>
      </c>
      <c r="G40" s="17">
        <v>0.75</v>
      </c>
      <c r="H40" s="17">
        <v>0.75</v>
      </c>
      <c r="I40" s="17">
        <v>0.75</v>
      </c>
      <c r="J40" s="17">
        <v>0.75</v>
      </c>
      <c r="K40" s="17">
        <v>0.75</v>
      </c>
      <c r="L40" s="17">
        <v>0.75</v>
      </c>
    </row>
    <row r="41" spans="1:12" x14ac:dyDescent="0.25">
      <c r="A41" s="7" t="s">
        <v>50</v>
      </c>
      <c r="B41" s="18">
        <v>-29.8</v>
      </c>
      <c r="C41" s="18">
        <v>-30.9</v>
      </c>
      <c r="D41" s="18">
        <v>-33.5</v>
      </c>
      <c r="E41" s="18">
        <v>-57.7</v>
      </c>
      <c r="F41" s="18">
        <v>-32.6</v>
      </c>
      <c r="G41" s="19">
        <v>-38</v>
      </c>
      <c r="H41" s="19">
        <v>-38</v>
      </c>
      <c r="I41" s="19">
        <v>-35</v>
      </c>
      <c r="J41" s="19">
        <v>-35</v>
      </c>
      <c r="K41" s="19">
        <v>-35</v>
      </c>
      <c r="L41" s="19">
        <v>-35</v>
      </c>
    </row>
    <row r="42" spans="1:12" x14ac:dyDescent="0.25">
      <c r="A42" s="7" t="s">
        <v>51</v>
      </c>
      <c r="B42" s="18">
        <v>2163.5</v>
      </c>
      <c r="C42" s="18">
        <v>2165</v>
      </c>
      <c r="D42" s="18">
        <v>2165.5</v>
      </c>
      <c r="E42" s="18">
        <v>2165.6999999999998</v>
      </c>
      <c r="F42" s="18">
        <v>2165.8000000000002</v>
      </c>
      <c r="G42" s="19">
        <v>2166.6</v>
      </c>
      <c r="H42" s="19">
        <v>2166.6</v>
      </c>
      <c r="I42" s="19">
        <v>2166.6</v>
      </c>
      <c r="J42" s="19">
        <v>2166.6</v>
      </c>
      <c r="K42" s="19">
        <v>2166.6</v>
      </c>
      <c r="L42" s="19">
        <v>2166.6</v>
      </c>
    </row>
    <row r="44" spans="1:12" x14ac:dyDescent="0.25">
      <c r="A44" s="13" t="s">
        <v>52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7" t="s">
        <v>53</v>
      </c>
      <c r="G45" s="23">
        <v>0.08</v>
      </c>
    </row>
    <row r="46" spans="1:12" x14ac:dyDescent="0.25">
      <c r="A46" s="7" t="s">
        <v>54</v>
      </c>
      <c r="G46" s="23">
        <v>0.02</v>
      </c>
      <c r="L46" s="17">
        <v>0.02</v>
      </c>
    </row>
    <row r="47" spans="1:12" x14ac:dyDescent="0.25">
      <c r="A47" s="7" t="s">
        <v>55</v>
      </c>
      <c r="G47" s="17">
        <v>0.12</v>
      </c>
      <c r="H47" s="17">
        <v>0.12</v>
      </c>
      <c r="I47" s="17">
        <v>0.1</v>
      </c>
      <c r="J47" s="17">
        <v>0.1</v>
      </c>
      <c r="K47" s="17">
        <v>0.1</v>
      </c>
      <c r="L47" s="17">
        <v>0.1</v>
      </c>
    </row>
    <row r="48" spans="1:12" x14ac:dyDescent="0.25">
      <c r="A48" s="7" t="s">
        <v>56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</row>
    <row r="49" spans="1:12" x14ac:dyDescent="0.25">
      <c r="A49" s="7" t="s">
        <v>57</v>
      </c>
      <c r="G49" s="22">
        <v>-15</v>
      </c>
      <c r="H49" s="22">
        <v>-10</v>
      </c>
      <c r="I49" s="22">
        <v>-10</v>
      </c>
      <c r="J49" s="22">
        <v>-5</v>
      </c>
      <c r="K49" s="22">
        <v>-5</v>
      </c>
      <c r="L49" s="22">
        <v>-5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9F522-0B27-4B0F-98FD-989536C1A059}">
  <dimension ref="A1:F35"/>
  <sheetViews>
    <sheetView showGridLines="0" workbookViewId="0"/>
  </sheetViews>
  <sheetFormatPr defaultRowHeight="15" x14ac:dyDescent="0.25"/>
  <cols>
    <col min="1" max="1" width="41.85546875" customWidth="1"/>
    <col min="2" max="6" width="16.140625" customWidth="1"/>
  </cols>
  <sheetData>
    <row r="1" spans="1:6" x14ac:dyDescent="0.25">
      <c r="A1" s="63" t="s">
        <v>277</v>
      </c>
    </row>
    <row r="3" spans="1:6" x14ac:dyDescent="0.25">
      <c r="A3" s="64" t="s">
        <v>200</v>
      </c>
      <c r="B3" s="61" t="s">
        <v>9</v>
      </c>
      <c r="C3" s="61" t="s">
        <v>10</v>
      </c>
      <c r="D3" s="61" t="s">
        <v>11</v>
      </c>
      <c r="E3" s="61" t="s">
        <v>12</v>
      </c>
      <c r="F3" s="61" t="s">
        <v>13</v>
      </c>
    </row>
    <row r="4" spans="1:6" x14ac:dyDescent="0.25">
      <c r="A4" s="13" t="s">
        <v>233</v>
      </c>
    </row>
    <row r="5" spans="1:6" x14ac:dyDescent="0.25">
      <c r="A5" s="7" t="s">
        <v>75</v>
      </c>
      <c r="B5" s="24">
        <v>3242.6</v>
      </c>
      <c r="C5" s="24">
        <v>3502.8</v>
      </c>
      <c r="D5" s="24">
        <v>3780.8</v>
      </c>
      <c r="E5" s="24">
        <v>3880.3</v>
      </c>
      <c r="F5" s="24">
        <v>4476.5</v>
      </c>
    </row>
    <row r="6" spans="1:6" x14ac:dyDescent="0.25">
      <c r="A6" s="7" t="s">
        <v>77</v>
      </c>
      <c r="B6" s="24">
        <v>121.7</v>
      </c>
      <c r="C6" s="24">
        <v>199.8</v>
      </c>
      <c r="D6" s="24">
        <v>270</v>
      </c>
      <c r="E6" s="24">
        <v>272.10000000000002</v>
      </c>
      <c r="F6" s="24">
        <v>322.89999999999998</v>
      </c>
    </row>
    <row r="7" spans="1:6" x14ac:dyDescent="0.25">
      <c r="A7" s="7" t="s">
        <v>234</v>
      </c>
      <c r="B7" s="24">
        <v>432</v>
      </c>
      <c r="C7" s="24">
        <v>376.3</v>
      </c>
      <c r="D7" s="24">
        <v>357.2</v>
      </c>
      <c r="E7" s="24">
        <v>364.2</v>
      </c>
      <c r="F7" s="24">
        <v>368.4</v>
      </c>
    </row>
    <row r="8" spans="1:6" x14ac:dyDescent="0.25">
      <c r="A8" s="26" t="s">
        <v>79</v>
      </c>
      <c r="B8" s="44">
        <v>553.70000000000005</v>
      </c>
      <c r="C8" s="44">
        <v>576.1</v>
      </c>
      <c r="D8" s="44">
        <v>627.20000000000005</v>
      </c>
      <c r="E8" s="44">
        <v>636.29999999999995</v>
      </c>
      <c r="F8" s="44">
        <v>691.3</v>
      </c>
    </row>
    <row r="9" spans="1:6" x14ac:dyDescent="0.25">
      <c r="A9" s="7" t="s">
        <v>82</v>
      </c>
      <c r="B9" s="65">
        <v>-14.7</v>
      </c>
      <c r="C9" s="65">
        <v>-11.3</v>
      </c>
      <c r="D9" s="65">
        <v>-13.3</v>
      </c>
      <c r="E9" s="65">
        <v>-22.9</v>
      </c>
      <c r="F9" s="65">
        <v>-38.9</v>
      </c>
    </row>
    <row r="10" spans="1:6" x14ac:dyDescent="0.25">
      <c r="A10" s="7" t="s">
        <v>235</v>
      </c>
      <c r="B10" s="24">
        <v>91.7</v>
      </c>
      <c r="C10" s="24">
        <v>152.9</v>
      </c>
      <c r="D10" s="24">
        <v>218.5</v>
      </c>
      <c r="E10" s="24">
        <v>225</v>
      </c>
      <c r="F10" s="24">
        <v>255.7</v>
      </c>
    </row>
    <row r="11" spans="1:6" x14ac:dyDescent="0.25">
      <c r="A11" s="26" t="s">
        <v>88</v>
      </c>
      <c r="B11" s="44">
        <v>60.8</v>
      </c>
      <c r="C11" s="44">
        <v>123</v>
      </c>
      <c r="D11" s="44">
        <v>173.1</v>
      </c>
      <c r="E11" s="44">
        <v>180.5</v>
      </c>
      <c r="F11" s="44">
        <v>210.5</v>
      </c>
    </row>
    <row r="12" spans="1:6" x14ac:dyDescent="0.25">
      <c r="A12" s="7" t="s">
        <v>90</v>
      </c>
      <c r="B12" s="42">
        <v>2.81</v>
      </c>
      <c r="C12" s="42">
        <v>5.68</v>
      </c>
      <c r="D12" s="42">
        <v>7.99</v>
      </c>
      <c r="E12" s="42">
        <v>8.33</v>
      </c>
      <c r="F12" s="42">
        <v>9.7200000000000006</v>
      </c>
    </row>
    <row r="13" spans="1:6" x14ac:dyDescent="0.25">
      <c r="A13" s="7" t="s">
        <v>91</v>
      </c>
      <c r="B13" s="42">
        <v>1.43</v>
      </c>
      <c r="C13" s="42">
        <v>4.2</v>
      </c>
      <c r="D13" s="42">
        <v>8.48</v>
      </c>
      <c r="E13" s="42">
        <v>6.66</v>
      </c>
      <c r="F13" s="42">
        <v>7.77</v>
      </c>
    </row>
    <row r="15" spans="1:6" x14ac:dyDescent="0.25">
      <c r="A15" s="13" t="s">
        <v>236</v>
      </c>
    </row>
    <row r="16" spans="1:6" x14ac:dyDescent="0.25">
      <c r="A16" s="7" t="s">
        <v>132</v>
      </c>
      <c r="B16" s="24">
        <v>4927</v>
      </c>
      <c r="C16" s="24">
        <v>4914.3999999999996</v>
      </c>
      <c r="D16" s="24">
        <v>4701.8999999999996</v>
      </c>
      <c r="E16" s="24">
        <v>4689.7</v>
      </c>
      <c r="F16" s="24">
        <v>5725.8</v>
      </c>
    </row>
    <row r="17" spans="1:6" x14ac:dyDescent="0.25">
      <c r="A17" s="7" t="s">
        <v>138</v>
      </c>
      <c r="B17" s="24">
        <v>1879.8</v>
      </c>
      <c r="C17" s="24">
        <v>1806</v>
      </c>
      <c r="D17" s="24">
        <v>1696.9</v>
      </c>
      <c r="E17" s="24">
        <v>1675.8</v>
      </c>
      <c r="F17" s="24">
        <v>2700.2</v>
      </c>
    </row>
    <row r="18" spans="1:6" x14ac:dyDescent="0.25">
      <c r="A18" s="26" t="s">
        <v>143</v>
      </c>
      <c r="B18" s="44">
        <v>3047.2</v>
      </c>
      <c r="C18" s="44">
        <v>3108.4</v>
      </c>
      <c r="D18" s="44">
        <v>3005</v>
      </c>
      <c r="E18" s="44">
        <v>3013.9</v>
      </c>
      <c r="F18" s="44">
        <v>3025.6</v>
      </c>
    </row>
    <row r="20" spans="1:6" x14ac:dyDescent="0.25">
      <c r="A20" s="13" t="s">
        <v>237</v>
      </c>
    </row>
    <row r="21" spans="1:6" x14ac:dyDescent="0.25">
      <c r="A21" s="7" t="s">
        <v>238</v>
      </c>
      <c r="B21" s="24">
        <v>544.29999999999995</v>
      </c>
      <c r="C21" s="24">
        <v>656.5</v>
      </c>
      <c r="D21" s="24">
        <v>602.29999999999995</v>
      </c>
      <c r="E21" s="24">
        <v>449.1</v>
      </c>
      <c r="F21" s="24">
        <v>547.5</v>
      </c>
    </row>
    <row r="22" spans="1:6" x14ac:dyDescent="0.25">
      <c r="A22" s="7" t="s">
        <v>104</v>
      </c>
      <c r="B22" s="65">
        <v>-198.5</v>
      </c>
      <c r="C22" s="65">
        <v>-223.8</v>
      </c>
      <c r="D22" s="65">
        <v>-302.39999999999998</v>
      </c>
      <c r="E22" s="65">
        <v>-367.5</v>
      </c>
      <c r="F22" s="65">
        <v>-445.1</v>
      </c>
    </row>
    <row r="23" spans="1:6" x14ac:dyDescent="0.25">
      <c r="A23" s="26" t="s">
        <v>239</v>
      </c>
      <c r="B23" s="44">
        <v>345.8</v>
      </c>
      <c r="C23" s="44">
        <v>432.7</v>
      </c>
      <c r="D23" s="44">
        <v>299.89999999999998</v>
      </c>
      <c r="E23" s="44">
        <v>81.599999999999994</v>
      </c>
      <c r="F23" s="44">
        <v>102.4</v>
      </c>
    </row>
    <row r="24" spans="1:6" x14ac:dyDescent="0.25">
      <c r="A24" s="7" t="s">
        <v>163</v>
      </c>
      <c r="B24" s="65">
        <v>-114.6</v>
      </c>
      <c r="C24" s="65">
        <v>-76.5</v>
      </c>
      <c r="D24" s="65">
        <v>-137.80000000000001</v>
      </c>
      <c r="E24" s="65">
        <v>-154.19999999999999</v>
      </c>
      <c r="F24" s="65">
        <v>-157.69999999999999</v>
      </c>
    </row>
    <row r="27" spans="1:6" x14ac:dyDescent="0.25">
      <c r="A27" s="13" t="s">
        <v>265</v>
      </c>
    </row>
    <row r="28" spans="1:6" x14ac:dyDescent="0.25">
      <c r="A28" s="7" t="s">
        <v>127</v>
      </c>
      <c r="B28" s="24">
        <f>B34-742.8-589-127.9</f>
        <v>0</v>
      </c>
      <c r="C28" s="24">
        <f>C34-919.1-569.8-116.9</f>
        <v>14.799999999999926</v>
      </c>
      <c r="D28" s="24">
        <f>D34-967-476.7-120.1</f>
        <v>80.900000000000063</v>
      </c>
      <c r="E28" s="24">
        <f>E34-856.9-532.7-141.7</f>
        <v>82.799999999999898</v>
      </c>
      <c r="F28" s="24">
        <f>F34-892.4-725.7-158</f>
        <v>122.99999999999989</v>
      </c>
    </row>
    <row r="30" spans="1:6" x14ac:dyDescent="0.25">
      <c r="A30" s="7" t="s">
        <v>134</v>
      </c>
      <c r="B30" s="24">
        <v>463.7</v>
      </c>
      <c r="C30" s="24">
        <v>341</v>
      </c>
      <c r="D30" s="24">
        <v>292.2</v>
      </c>
      <c r="E30" s="24">
        <v>350.3</v>
      </c>
      <c r="F30" s="24">
        <v>1081.5999999999999</v>
      </c>
    </row>
    <row r="31" spans="1:6" x14ac:dyDescent="0.25">
      <c r="A31" s="7" t="s">
        <v>135</v>
      </c>
      <c r="B31" s="24">
        <v>188.9</v>
      </c>
      <c r="C31" s="24">
        <v>218.7</v>
      </c>
      <c r="D31" s="24">
        <v>189.5</v>
      </c>
      <c r="E31" s="24">
        <v>168.8</v>
      </c>
      <c r="F31" s="24">
        <v>244</v>
      </c>
    </row>
    <row r="32" spans="1:6" x14ac:dyDescent="0.25">
      <c r="A32" s="7" t="s">
        <v>136</v>
      </c>
      <c r="B32" s="24">
        <v>675</v>
      </c>
      <c r="C32" s="24">
        <v>775.6</v>
      </c>
      <c r="D32" s="24">
        <v>832.2</v>
      </c>
      <c r="E32" s="24">
        <v>807.4</v>
      </c>
      <c r="F32" s="24">
        <v>1001.1</v>
      </c>
    </row>
    <row r="33" spans="1:6" x14ac:dyDescent="0.25">
      <c r="A33" s="7" t="s">
        <v>137</v>
      </c>
      <c r="B33" s="24">
        <f>B17-463.7-188.9-675</f>
        <v>552.19999999999982</v>
      </c>
      <c r="C33" s="24">
        <f>C17-341-218.7-775.6</f>
        <v>470.69999999999993</v>
      </c>
      <c r="D33" s="24">
        <f>D17-292.2-189.5-832.2</f>
        <v>383</v>
      </c>
      <c r="E33" s="24">
        <f>E17-350.3-168.8-807.4</f>
        <v>349.30000000000007</v>
      </c>
      <c r="F33" s="24">
        <f>F17-1081.6-244-1001.1</f>
        <v>373.49999999999989</v>
      </c>
    </row>
    <row r="34" spans="1:6" x14ac:dyDescent="0.25">
      <c r="A34" s="7" t="s">
        <v>266</v>
      </c>
      <c r="B34" s="24">
        <v>1459.7</v>
      </c>
      <c r="C34" s="24">
        <v>1620.6</v>
      </c>
      <c r="D34" s="24">
        <v>1644.7</v>
      </c>
      <c r="E34" s="24">
        <v>1614.1</v>
      </c>
      <c r="F34" s="24">
        <v>1899.1</v>
      </c>
    </row>
    <row r="35" spans="1:6" x14ac:dyDescent="0.25">
      <c r="A35" s="7" t="s">
        <v>267</v>
      </c>
      <c r="B35" s="24">
        <v>867.3</v>
      </c>
      <c r="C35" s="24">
        <v>815.9</v>
      </c>
      <c r="D35" s="24">
        <v>656.1</v>
      </c>
      <c r="E35" s="24">
        <v>584.20000000000005</v>
      </c>
      <c r="F35" s="24">
        <v>899.5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B811D-3444-4EDE-A7E8-0E002CDBFB5E}">
  <dimension ref="A1:L28"/>
  <sheetViews>
    <sheetView showGridLines="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ht="15.75" x14ac:dyDescent="0.25">
      <c r="A1" s="5" t="s">
        <v>6</v>
      </c>
    </row>
    <row r="2" spans="1:12" x14ac:dyDescent="0.25">
      <c r="A2" s="6" t="s">
        <v>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8" t="s">
        <v>59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 x14ac:dyDescent="0.25">
      <c r="A5" s="13" t="s">
        <v>61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5">
      <c r="A6" s="7" t="s">
        <v>62</v>
      </c>
      <c r="B6" s="24">
        <v>2360.9</v>
      </c>
      <c r="C6" s="24">
        <v>2572.6</v>
      </c>
      <c r="D6" s="24">
        <v>2886.6</v>
      </c>
      <c r="E6" s="24">
        <v>2959.3</v>
      </c>
      <c r="F6" s="24">
        <v>3107.5</v>
      </c>
      <c r="G6" s="24">
        <v>1571.1</v>
      </c>
      <c r="H6" s="25">
        <f>F6*(1+Assumptions!H6)</f>
        <v>3262.875</v>
      </c>
      <c r="I6" s="25">
        <f>H6*(1+Assumptions!I6)</f>
        <v>3377.0756249999999</v>
      </c>
      <c r="J6" s="25">
        <f>I6*(1+Assumptions!J6)</f>
        <v>3478.3878937499999</v>
      </c>
      <c r="K6" s="25">
        <f>J6*(1+Assumptions!K6)</f>
        <v>3582.7395305625</v>
      </c>
      <c r="L6" s="25">
        <f>K6*(1+Assumptions!L6)</f>
        <v>3690.2217164793751</v>
      </c>
    </row>
    <row r="7" spans="1:12" x14ac:dyDescent="0.25">
      <c r="A7" s="7" t="s">
        <v>63</v>
      </c>
      <c r="B7" s="24">
        <v>458.2</v>
      </c>
      <c r="C7" s="24">
        <v>460.9</v>
      </c>
      <c r="D7" s="24">
        <v>554.79999999999995</v>
      </c>
      <c r="E7" s="24">
        <v>574.70000000000005</v>
      </c>
      <c r="F7" s="24">
        <v>748.7</v>
      </c>
      <c r="G7" s="24">
        <v>519.70000000000005</v>
      </c>
      <c r="H7" s="25">
        <f>F7*(1+Assumptions!H7)</f>
        <v>1010.7450000000001</v>
      </c>
      <c r="I7" s="25">
        <f>H7*(1+Assumptions!I7)</f>
        <v>1041.0673500000003</v>
      </c>
      <c r="J7" s="25">
        <f>I7*(1+Assumptions!J7)</f>
        <v>1072.2993705000004</v>
      </c>
      <c r="K7" s="25">
        <f>J7*(1+Assumptions!K7)</f>
        <v>1099.1068547625002</v>
      </c>
      <c r="L7" s="25">
        <f>K7*(1+Assumptions!L7)</f>
        <v>1126.5845261315626</v>
      </c>
    </row>
    <row r="8" spans="1:12" x14ac:dyDescent="0.25">
      <c r="A8" s="7" t="s">
        <v>64</v>
      </c>
      <c r="B8" s="24">
        <v>49.5</v>
      </c>
      <c r="C8" s="24">
        <v>73.900000000000006</v>
      </c>
      <c r="D8" s="24">
        <v>149.5</v>
      </c>
      <c r="E8" s="24">
        <v>143.80000000000001</v>
      </c>
      <c r="F8" s="24">
        <v>406.2</v>
      </c>
      <c r="G8" s="24">
        <v>214.5</v>
      </c>
      <c r="H8" s="25">
        <f>F8*(1+Assumptions!H8)</f>
        <v>467.12999999999994</v>
      </c>
      <c r="I8" s="25">
        <f>H8*(1+Assumptions!I8)</f>
        <v>483.4795499999999</v>
      </c>
      <c r="J8" s="25">
        <f>I8*(1+Assumptions!J8)</f>
        <v>497.98393649999991</v>
      </c>
      <c r="K8" s="25">
        <f>J8*(1+Assumptions!K8)</f>
        <v>512.92345459499995</v>
      </c>
      <c r="L8" s="25">
        <f>K8*(1+Assumptions!L8)</f>
        <v>528.31115823284995</v>
      </c>
    </row>
    <row r="9" spans="1:12" x14ac:dyDescent="0.25">
      <c r="A9" s="7" t="s">
        <v>65</v>
      </c>
      <c r="B9" s="24">
        <v>93.9</v>
      </c>
      <c r="C9" s="24">
        <v>96.9</v>
      </c>
      <c r="D9" s="24">
        <v>106</v>
      </c>
      <c r="E9" s="24">
        <v>109.5</v>
      </c>
      <c r="F9" s="24">
        <v>117</v>
      </c>
      <c r="G9" s="24">
        <v>68.599999999999994</v>
      </c>
      <c r="H9" s="25">
        <f>F9*(1+Assumptions!H9)</f>
        <v>122.85000000000001</v>
      </c>
      <c r="I9" s="25">
        <f>H9*(1+Assumptions!I9)</f>
        <v>127.76400000000001</v>
      </c>
      <c r="J9" s="25">
        <f>I9*(1+Assumptions!J9)</f>
        <v>131.59692000000001</v>
      </c>
      <c r="K9" s="25">
        <f>J9*(1+Assumptions!K9)</f>
        <v>135.54482760000002</v>
      </c>
      <c r="L9" s="25">
        <f>K9*(1+Assumptions!L9)</f>
        <v>139.61117242800003</v>
      </c>
    </row>
    <row r="10" spans="1:12" x14ac:dyDescent="0.25">
      <c r="A10" s="7" t="s">
        <v>66</v>
      </c>
      <c r="B10" s="24">
        <v>280.10000000000002</v>
      </c>
      <c r="C10" s="24">
        <v>298.5</v>
      </c>
      <c r="D10" s="24">
        <v>83.9</v>
      </c>
      <c r="E10" s="24">
        <v>93</v>
      </c>
      <c r="F10" s="24">
        <v>97.1</v>
      </c>
      <c r="G10" s="24">
        <v>48.8</v>
      </c>
      <c r="H10" s="25">
        <f>F10*(1+Assumptions!H10)</f>
        <v>99.042000000000002</v>
      </c>
      <c r="I10" s="25">
        <f>H10*(1+Assumptions!I10)</f>
        <v>101.02284</v>
      </c>
      <c r="J10" s="25">
        <f>I10*(1+Assumptions!J10)</f>
        <v>103.04329680000001</v>
      </c>
      <c r="K10" s="25">
        <f>J10*(1+Assumptions!K10)</f>
        <v>105.10416273600001</v>
      </c>
      <c r="L10" s="25">
        <f>K10*(1+Assumptions!L10)</f>
        <v>107.20624599072001</v>
      </c>
    </row>
    <row r="11" spans="1:12" x14ac:dyDescent="0.25">
      <c r="A11" s="26" t="s">
        <v>67</v>
      </c>
      <c r="B11" s="27">
        <f t="shared" ref="B11:L11" si="0">SUM(B6:B10)</f>
        <v>3242.6</v>
      </c>
      <c r="C11" s="27">
        <f t="shared" si="0"/>
        <v>3502.8</v>
      </c>
      <c r="D11" s="27">
        <f t="shared" si="0"/>
        <v>3780.7999999999997</v>
      </c>
      <c r="E11" s="27">
        <f t="shared" si="0"/>
        <v>3880.3</v>
      </c>
      <c r="F11" s="27">
        <f t="shared" si="0"/>
        <v>4476.5</v>
      </c>
      <c r="G11" s="27">
        <f t="shared" si="0"/>
        <v>2422.7000000000003</v>
      </c>
      <c r="H11" s="27">
        <f t="shared" si="0"/>
        <v>4962.6420000000007</v>
      </c>
      <c r="I11" s="27">
        <f t="shared" si="0"/>
        <v>5130.4093650000004</v>
      </c>
      <c r="J11" s="27">
        <f t="shared" si="0"/>
        <v>5283.3114175499995</v>
      </c>
      <c r="K11" s="27">
        <f t="shared" si="0"/>
        <v>5435.4188302560005</v>
      </c>
      <c r="L11" s="27">
        <f t="shared" si="0"/>
        <v>5591.9348192625075</v>
      </c>
    </row>
    <row r="12" spans="1:12" x14ac:dyDescent="0.25">
      <c r="A12" s="8" t="s">
        <v>68</v>
      </c>
      <c r="C12" s="28">
        <f>C11/B11-1</f>
        <v>8.0244248442607802E-2</v>
      </c>
      <c r="D12" s="28">
        <f>D11/C11-1</f>
        <v>7.9365079365079305E-2</v>
      </c>
      <c r="E12" s="28">
        <f>E11/D11-1</f>
        <v>2.6317181548878743E-2</v>
      </c>
      <c r="F12" s="28">
        <f>F11/E11-1</f>
        <v>0.15364791382109622</v>
      </c>
      <c r="H12" s="28">
        <f>H11/F11-1</f>
        <v>0.10859868200603162</v>
      </c>
      <c r="I12" s="28">
        <f>I11/H11-1</f>
        <v>3.3806058345534407E-2</v>
      </c>
      <c r="J12" s="28">
        <f>J11/I11-1</f>
        <v>2.9803090099029372E-2</v>
      </c>
      <c r="K12" s="28">
        <f>K11/J11-1</f>
        <v>2.8790165993383132E-2</v>
      </c>
      <c r="L12" s="28">
        <f>L11/K11-1</f>
        <v>2.8795571030380884E-2</v>
      </c>
    </row>
    <row r="14" spans="1:12" x14ac:dyDescent="0.25">
      <c r="A14" s="13" t="s">
        <v>69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5">
      <c r="A15" s="7" t="s">
        <v>62</v>
      </c>
      <c r="B15" s="24">
        <v>35.5</v>
      </c>
      <c r="C15" s="24">
        <v>100.3</v>
      </c>
      <c r="D15" s="24">
        <v>163.1</v>
      </c>
      <c r="E15" s="24">
        <v>120.4</v>
      </c>
      <c r="F15" s="24">
        <v>130</v>
      </c>
      <c r="G15" s="24">
        <v>76.5</v>
      </c>
      <c r="H15" s="25">
        <f>H6*Assumptions!H13</f>
        <v>150.09225000000001</v>
      </c>
      <c r="I15" s="25">
        <f>I6*Assumptions!I13</f>
        <v>158.72255437499999</v>
      </c>
      <c r="J15" s="25">
        <f>J6*Assumptions!J13</f>
        <v>166.9626189</v>
      </c>
      <c r="K15" s="25">
        <f>K6*Assumptions!K13</f>
        <v>171.97149746700001</v>
      </c>
      <c r="L15" s="25">
        <f>L6*Assumptions!L13</f>
        <v>177.13064239101001</v>
      </c>
    </row>
    <row r="16" spans="1:12" x14ac:dyDescent="0.25">
      <c r="A16" s="7" t="s">
        <v>63</v>
      </c>
      <c r="B16" s="24">
        <v>33.5</v>
      </c>
      <c r="C16" s="24">
        <v>53.5</v>
      </c>
      <c r="D16" s="24">
        <v>66.900000000000006</v>
      </c>
      <c r="E16" s="24">
        <v>106.7</v>
      </c>
      <c r="F16" s="24">
        <v>135.30000000000001</v>
      </c>
      <c r="G16" s="24">
        <v>67.5</v>
      </c>
      <c r="H16" s="25">
        <f>H7*Assumptions!H14</f>
        <v>151.61175</v>
      </c>
      <c r="I16" s="25">
        <f>I7*Assumptions!I14</f>
        <v>161.36543925000004</v>
      </c>
      <c r="J16" s="25">
        <f>J7*Assumptions!J14</f>
        <v>171.56789928000006</v>
      </c>
      <c r="K16" s="25">
        <f>K7*Assumptions!K14</f>
        <v>181.35263103581255</v>
      </c>
      <c r="L16" s="25">
        <f>L7*Assumptions!L14</f>
        <v>185.88644681170783</v>
      </c>
    </row>
    <row r="17" spans="1:12" x14ac:dyDescent="0.25">
      <c r="A17" s="7" t="s">
        <v>64</v>
      </c>
      <c r="B17" s="24">
        <v>22.7</v>
      </c>
      <c r="C17" s="24">
        <v>12</v>
      </c>
      <c r="D17" s="24">
        <v>-5.4</v>
      </c>
      <c r="E17" s="29">
        <v>-1.6</v>
      </c>
      <c r="F17" s="24">
        <v>16.899999999999999</v>
      </c>
      <c r="G17" s="24">
        <v>5.6</v>
      </c>
      <c r="H17" s="25">
        <f>H8*Assumptions!H15</f>
        <v>23.356499999999997</v>
      </c>
      <c r="I17" s="25">
        <f>I8*Assumptions!I15</f>
        <v>26.591375249999995</v>
      </c>
      <c r="J17" s="25">
        <f>J8*Assumptions!J15</f>
        <v>27.389116507499995</v>
      </c>
      <c r="K17" s="25">
        <f>K8*Assumptions!K15</f>
        <v>28.210790002724998</v>
      </c>
      <c r="L17" s="25">
        <f>L8*Assumptions!L15</f>
        <v>29.057113702806749</v>
      </c>
    </row>
    <row r="18" spans="1:12" x14ac:dyDescent="0.25">
      <c r="A18" s="7" t="s">
        <v>65</v>
      </c>
      <c r="B18" s="24">
        <v>12.5</v>
      </c>
      <c r="C18" s="24">
        <v>14.5</v>
      </c>
      <c r="D18" s="24">
        <v>32.6</v>
      </c>
      <c r="E18" s="24">
        <v>33</v>
      </c>
      <c r="F18" s="24">
        <v>34.6</v>
      </c>
      <c r="G18" s="24">
        <v>18.899999999999999</v>
      </c>
      <c r="H18" s="25">
        <f>H9*Assumptions!H16</f>
        <v>33.169500000000006</v>
      </c>
      <c r="I18" s="25">
        <f>I9*Assumptions!I16</f>
        <v>33.218640000000001</v>
      </c>
      <c r="J18" s="25">
        <f>J9*Assumptions!J16</f>
        <v>32.899230000000003</v>
      </c>
      <c r="K18" s="25">
        <f>K9*Assumptions!K16</f>
        <v>33.886206900000005</v>
      </c>
      <c r="L18" s="25">
        <f>L9*Assumptions!L16</f>
        <v>34.902793107000008</v>
      </c>
    </row>
    <row r="19" spans="1:12" x14ac:dyDescent="0.25">
      <c r="A19" s="7" t="s">
        <v>66</v>
      </c>
      <c r="B19" s="24">
        <v>17.5</v>
      </c>
      <c r="C19" s="24">
        <v>19.5</v>
      </c>
      <c r="D19" s="24">
        <v>12.8</v>
      </c>
      <c r="E19" s="24">
        <v>13.6</v>
      </c>
      <c r="F19" s="24">
        <v>6.1</v>
      </c>
      <c r="G19" s="24">
        <v>4</v>
      </c>
      <c r="H19" s="25">
        <f>H10*Assumptions!H17</f>
        <v>5.94252</v>
      </c>
      <c r="I19" s="25">
        <f>I10*Assumptions!I17</f>
        <v>6.0613703999999995</v>
      </c>
      <c r="J19" s="25">
        <f>J10*Assumptions!J17</f>
        <v>6.1825978080000006</v>
      </c>
      <c r="K19" s="25">
        <f>K10*Assumptions!K17</f>
        <v>6.3062497641600004</v>
      </c>
      <c r="L19" s="25">
        <f>L10*Assumptions!L17</f>
        <v>6.4323747594432001</v>
      </c>
    </row>
    <row r="20" spans="1:12" x14ac:dyDescent="0.25">
      <c r="A20" s="26" t="s">
        <v>70</v>
      </c>
      <c r="B20" s="27">
        <f t="shared" ref="B20:L20" si="1">SUM(B15:B19)</f>
        <v>121.7</v>
      </c>
      <c r="C20" s="27">
        <f t="shared" si="1"/>
        <v>199.8</v>
      </c>
      <c r="D20" s="27">
        <f t="shared" si="1"/>
        <v>270</v>
      </c>
      <c r="E20" s="27">
        <f t="shared" si="1"/>
        <v>272.10000000000002</v>
      </c>
      <c r="F20" s="27">
        <f t="shared" si="1"/>
        <v>322.90000000000003</v>
      </c>
      <c r="G20" s="27">
        <f t="shared" si="1"/>
        <v>172.5</v>
      </c>
      <c r="H20" s="27">
        <f t="shared" si="1"/>
        <v>364.17252000000002</v>
      </c>
      <c r="I20" s="27">
        <f t="shared" si="1"/>
        <v>385.959379275</v>
      </c>
      <c r="J20" s="27">
        <f t="shared" si="1"/>
        <v>405.00146249550005</v>
      </c>
      <c r="K20" s="27">
        <f t="shared" si="1"/>
        <v>421.7273751696975</v>
      </c>
      <c r="L20" s="27">
        <f t="shared" si="1"/>
        <v>433.40937077196782</v>
      </c>
    </row>
    <row r="21" spans="1:12" x14ac:dyDescent="0.25">
      <c r="A21" s="8" t="s">
        <v>71</v>
      </c>
      <c r="B21" s="28">
        <f t="shared" ref="B21:L21" si="2">B20/B11</f>
        <v>3.7531610436069819E-2</v>
      </c>
      <c r="C21" s="28">
        <f t="shared" si="2"/>
        <v>5.7040082219938337E-2</v>
      </c>
      <c r="D21" s="28">
        <f t="shared" si="2"/>
        <v>7.1413457469318667E-2</v>
      </c>
      <c r="E21" s="28">
        <f t="shared" si="2"/>
        <v>7.0123444063603338E-2</v>
      </c>
      <c r="F21" s="28">
        <f t="shared" si="2"/>
        <v>7.213224617446666E-2</v>
      </c>
      <c r="G21" s="28">
        <f t="shared" si="2"/>
        <v>7.1201551987452011E-2</v>
      </c>
      <c r="H21" s="28">
        <f t="shared" si="2"/>
        <v>7.3382790860190991E-2</v>
      </c>
      <c r="I21" s="28">
        <f t="shared" si="2"/>
        <v>7.5229743245839406E-2</v>
      </c>
      <c r="J21" s="28">
        <f t="shared" si="2"/>
        <v>7.6656746212266452E-2</v>
      </c>
      <c r="K21" s="28">
        <f t="shared" si="2"/>
        <v>7.7588754121793169E-2</v>
      </c>
      <c r="L21" s="28">
        <f t="shared" si="2"/>
        <v>7.7506155701065199E-2</v>
      </c>
    </row>
    <row r="23" spans="1:12" x14ac:dyDescent="0.25">
      <c r="A23" s="13" t="s">
        <v>72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25">
      <c r="A24" s="7" t="s">
        <v>73</v>
      </c>
      <c r="B24" s="30">
        <f t="shared" ref="B24:L24" si="3">B15/B6</f>
        <v>1.5036638570036849E-2</v>
      </c>
      <c r="C24" s="30">
        <f t="shared" si="3"/>
        <v>3.8987794449195368E-2</v>
      </c>
      <c r="D24" s="30">
        <f t="shared" si="3"/>
        <v>5.6502459641100254E-2</v>
      </c>
      <c r="E24" s="30">
        <f t="shared" si="3"/>
        <v>4.0685297198661846E-2</v>
      </c>
      <c r="F24" s="30">
        <f t="shared" si="3"/>
        <v>4.1834271922767501E-2</v>
      </c>
      <c r="G24" s="30">
        <f t="shared" si="3"/>
        <v>4.8691999236203938E-2</v>
      </c>
      <c r="H24" s="30">
        <f t="shared" si="3"/>
        <v>4.5999999999999999E-2</v>
      </c>
      <c r="I24" s="30">
        <f t="shared" si="3"/>
        <v>4.7E-2</v>
      </c>
      <c r="J24" s="30">
        <f t="shared" si="3"/>
        <v>4.8000000000000001E-2</v>
      </c>
      <c r="K24" s="30">
        <f t="shared" si="3"/>
        <v>4.8000000000000001E-2</v>
      </c>
      <c r="L24" s="30">
        <f t="shared" si="3"/>
        <v>4.8000000000000001E-2</v>
      </c>
    </row>
    <row r="25" spans="1:12" x14ac:dyDescent="0.25">
      <c r="A25" s="7" t="s">
        <v>74</v>
      </c>
      <c r="B25" s="30">
        <f t="shared" ref="B25:L25" si="4">B16/B7</f>
        <v>7.3112178088171109E-2</v>
      </c>
      <c r="C25" s="30">
        <f t="shared" si="4"/>
        <v>0.11607724018225211</v>
      </c>
      <c r="D25" s="30">
        <f t="shared" si="4"/>
        <v>0.12058399423215575</v>
      </c>
      <c r="E25" s="30">
        <f t="shared" si="4"/>
        <v>0.18566208456586045</v>
      </c>
      <c r="F25" s="30">
        <f t="shared" si="4"/>
        <v>0.18071323627621211</v>
      </c>
      <c r="G25" s="30">
        <f t="shared" si="4"/>
        <v>0.12988262459111025</v>
      </c>
      <c r="H25" s="30">
        <f t="shared" si="4"/>
        <v>0.15</v>
      </c>
      <c r="I25" s="30">
        <f t="shared" si="4"/>
        <v>0.155</v>
      </c>
      <c r="J25" s="30">
        <f t="shared" si="4"/>
        <v>0.16</v>
      </c>
      <c r="K25" s="30">
        <f t="shared" si="4"/>
        <v>0.16500000000000001</v>
      </c>
      <c r="L25" s="30">
        <f t="shared" si="4"/>
        <v>0.16500000000000001</v>
      </c>
    </row>
    <row r="26" spans="1:12" x14ac:dyDescent="0.25">
      <c r="A26" s="7" t="s">
        <v>64</v>
      </c>
      <c r="B26" s="30">
        <f t="shared" ref="B26:L26" si="5">B17/B8</f>
        <v>0.4585858585858586</v>
      </c>
      <c r="C26" s="30">
        <f t="shared" si="5"/>
        <v>0.16238159675236805</v>
      </c>
      <c r="D26" s="30">
        <f t="shared" si="5"/>
        <v>-3.6120401337792644E-2</v>
      </c>
      <c r="E26" s="30">
        <f t="shared" si="5"/>
        <v>-1.1126564673157162E-2</v>
      </c>
      <c r="F26" s="30">
        <f t="shared" si="5"/>
        <v>4.1605120630231411E-2</v>
      </c>
      <c r="G26" s="30">
        <f t="shared" si="5"/>
        <v>2.6107226107226107E-2</v>
      </c>
      <c r="H26" s="30">
        <f t="shared" si="5"/>
        <v>0.05</v>
      </c>
      <c r="I26" s="30">
        <f t="shared" si="5"/>
        <v>5.5E-2</v>
      </c>
      <c r="J26" s="30">
        <f t="shared" si="5"/>
        <v>5.5E-2</v>
      </c>
      <c r="K26" s="30">
        <f t="shared" si="5"/>
        <v>5.5E-2</v>
      </c>
      <c r="L26" s="30">
        <f t="shared" si="5"/>
        <v>5.5E-2</v>
      </c>
    </row>
    <row r="27" spans="1:12" x14ac:dyDescent="0.25">
      <c r="A27" s="7" t="s">
        <v>65</v>
      </c>
      <c r="B27" s="30">
        <f t="shared" ref="B27:L27" si="6">B18/B9</f>
        <v>0.13312034078807242</v>
      </c>
      <c r="C27" s="30">
        <f t="shared" si="6"/>
        <v>0.14963880288957687</v>
      </c>
      <c r="D27" s="30">
        <f t="shared" si="6"/>
        <v>0.30754716981132074</v>
      </c>
      <c r="E27" s="30">
        <f t="shared" si="6"/>
        <v>0.30136986301369861</v>
      </c>
      <c r="F27" s="30">
        <f t="shared" si="6"/>
        <v>0.29572649572649573</v>
      </c>
      <c r="G27" s="30">
        <f t="shared" si="6"/>
        <v>0.27551020408163268</v>
      </c>
      <c r="H27" s="30">
        <f t="shared" si="6"/>
        <v>0.27</v>
      </c>
      <c r="I27" s="30">
        <f t="shared" si="6"/>
        <v>0.26</v>
      </c>
      <c r="J27" s="30">
        <f t="shared" si="6"/>
        <v>0.25</v>
      </c>
      <c r="K27" s="30">
        <f t="shared" si="6"/>
        <v>0.25</v>
      </c>
      <c r="L27" s="30">
        <f t="shared" si="6"/>
        <v>0.25</v>
      </c>
    </row>
    <row r="28" spans="1:12" x14ac:dyDescent="0.25">
      <c r="A28" s="7" t="s">
        <v>66</v>
      </c>
      <c r="B28" s="30">
        <f t="shared" ref="B28:L28" si="7">B19/B10</f>
        <v>6.2477686540521236E-2</v>
      </c>
      <c r="C28" s="30">
        <f t="shared" si="7"/>
        <v>6.5326633165829151E-2</v>
      </c>
      <c r="D28" s="30">
        <f t="shared" si="7"/>
        <v>0.15256257449344457</v>
      </c>
      <c r="E28" s="30">
        <f t="shared" si="7"/>
        <v>0.14623655913978495</v>
      </c>
      <c r="F28" s="30">
        <f t="shared" si="7"/>
        <v>6.2821833161688975E-2</v>
      </c>
      <c r="G28" s="30">
        <f t="shared" si="7"/>
        <v>8.1967213114754106E-2</v>
      </c>
      <c r="H28" s="30">
        <f t="shared" si="7"/>
        <v>0.06</v>
      </c>
      <c r="I28" s="30">
        <f t="shared" si="7"/>
        <v>5.9999999999999991E-2</v>
      </c>
      <c r="J28" s="30">
        <f t="shared" si="7"/>
        <v>6.0000000000000005E-2</v>
      </c>
      <c r="K28" s="30">
        <f t="shared" si="7"/>
        <v>0.06</v>
      </c>
      <c r="L28" s="30">
        <f t="shared" si="7"/>
        <v>0.06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7A68-F78A-443E-A4CF-8C745A39D13E}">
  <dimension ref="A1:L27"/>
  <sheetViews>
    <sheetView showGridLines="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ht="15.75" x14ac:dyDescent="0.25">
      <c r="A1" s="5" t="s">
        <v>6</v>
      </c>
    </row>
    <row r="2" spans="1:12" x14ac:dyDescent="0.25">
      <c r="A2" s="6" t="s">
        <v>58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8" t="s">
        <v>59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 x14ac:dyDescent="0.25">
      <c r="A5" s="9" t="s">
        <v>75</v>
      </c>
      <c r="B5" s="31">
        <f>Segment_Model!B11</f>
        <v>3242.6</v>
      </c>
      <c r="C5" s="31">
        <f>Segment_Model!C11</f>
        <v>3502.8</v>
      </c>
      <c r="D5" s="31">
        <f>Segment_Model!D11</f>
        <v>3780.7999999999997</v>
      </c>
      <c r="E5" s="31">
        <f>Segment_Model!E11</f>
        <v>3880.3</v>
      </c>
      <c r="F5" s="31">
        <f>Segment_Model!F11</f>
        <v>4476.5</v>
      </c>
      <c r="G5" s="31">
        <f>Segment_Model!G11</f>
        <v>2422.7000000000003</v>
      </c>
      <c r="H5" s="31">
        <f>Segment_Model!H11</f>
        <v>4962.6420000000007</v>
      </c>
      <c r="I5" s="31">
        <f>Segment_Model!I11</f>
        <v>5130.4093650000004</v>
      </c>
      <c r="J5" s="31">
        <f>Segment_Model!J11</f>
        <v>5283.3114175499995</v>
      </c>
      <c r="K5" s="31">
        <f>Segment_Model!K11</f>
        <v>5435.4188302560005</v>
      </c>
      <c r="L5" s="31">
        <f>Segment_Model!L11</f>
        <v>5591.9348192625075</v>
      </c>
    </row>
    <row r="6" spans="1:12" x14ac:dyDescent="0.25">
      <c r="A6" s="7" t="s">
        <v>76</v>
      </c>
      <c r="B6" s="29">
        <v>-3120.9</v>
      </c>
      <c r="C6" s="29">
        <v>-3303</v>
      </c>
      <c r="D6" s="29">
        <v>-3510.8</v>
      </c>
      <c r="E6" s="29">
        <v>-3608.2</v>
      </c>
      <c r="F6" s="29">
        <v>-4153.6000000000004</v>
      </c>
      <c r="G6" s="29">
        <v>-2250.1999999999998</v>
      </c>
      <c r="H6" s="32">
        <f>-(H5-Segment_Model!H20)</f>
        <v>-4598.4694800000007</v>
      </c>
      <c r="I6" s="32">
        <f>-(I5-Segment_Model!I20)</f>
        <v>-4744.4499857250003</v>
      </c>
      <c r="J6" s="32">
        <f>-(J5-Segment_Model!J20)</f>
        <v>-4878.3099550544994</v>
      </c>
      <c r="K6" s="32">
        <f>-(K5-Segment_Model!K20)</f>
        <v>-5013.691455086303</v>
      </c>
      <c r="L6" s="32">
        <f>-(L5-Segment_Model!L20)</f>
        <v>-5158.5254484905399</v>
      </c>
    </row>
    <row r="7" spans="1:12" x14ac:dyDescent="0.25">
      <c r="A7" s="26" t="s">
        <v>77</v>
      </c>
      <c r="B7" s="34">
        <f t="shared" ref="B7:G7" si="0">B5+B6</f>
        <v>121.69999999999982</v>
      </c>
      <c r="C7" s="34">
        <f t="shared" si="0"/>
        <v>199.80000000000018</v>
      </c>
      <c r="D7" s="34">
        <f t="shared" si="0"/>
        <v>269.99999999999955</v>
      </c>
      <c r="E7" s="34">
        <f t="shared" si="0"/>
        <v>272.10000000000036</v>
      </c>
      <c r="F7" s="34">
        <f t="shared" si="0"/>
        <v>322.89999999999964</v>
      </c>
      <c r="G7" s="34">
        <f t="shared" si="0"/>
        <v>172.50000000000045</v>
      </c>
      <c r="H7" s="34">
        <f>Segment_Model!H20</f>
        <v>364.17252000000002</v>
      </c>
      <c r="I7" s="34">
        <f>Segment_Model!I20</f>
        <v>385.959379275</v>
      </c>
      <c r="J7" s="34">
        <f>Segment_Model!J20</f>
        <v>405.00146249550005</v>
      </c>
      <c r="K7" s="34">
        <f>Segment_Model!K20</f>
        <v>421.7273751696975</v>
      </c>
      <c r="L7" s="34">
        <f>Segment_Model!L20</f>
        <v>433.40937077196782</v>
      </c>
    </row>
    <row r="8" spans="1:12" x14ac:dyDescent="0.25">
      <c r="A8" s="8" t="s">
        <v>71</v>
      </c>
      <c r="B8" s="28">
        <f t="shared" ref="B8:L8" si="1">B7/B5</f>
        <v>3.7531610436069764E-2</v>
      </c>
      <c r="C8" s="28">
        <f t="shared" si="1"/>
        <v>5.7040082219938386E-2</v>
      </c>
      <c r="D8" s="28">
        <f t="shared" si="1"/>
        <v>7.1413457469318542E-2</v>
      </c>
      <c r="E8" s="28">
        <f t="shared" si="1"/>
        <v>7.0123444063603421E-2</v>
      </c>
      <c r="F8" s="28">
        <f t="shared" si="1"/>
        <v>7.2132246174466577E-2</v>
      </c>
      <c r="G8" s="28">
        <f t="shared" si="1"/>
        <v>7.1201551987452191E-2</v>
      </c>
      <c r="H8" s="28">
        <f t="shared" si="1"/>
        <v>7.3382790860190991E-2</v>
      </c>
      <c r="I8" s="28">
        <f t="shared" si="1"/>
        <v>7.5229743245839406E-2</v>
      </c>
      <c r="J8" s="28">
        <f t="shared" si="1"/>
        <v>7.6656746212266452E-2</v>
      </c>
      <c r="K8" s="28">
        <f t="shared" si="1"/>
        <v>7.7588754121793169E-2</v>
      </c>
      <c r="L8" s="28">
        <f t="shared" si="1"/>
        <v>7.7506155701065199E-2</v>
      </c>
    </row>
    <row r="9" spans="1:12" x14ac:dyDescent="0.25">
      <c r="A9" s="8" t="s">
        <v>78</v>
      </c>
      <c r="B9" s="35">
        <v>432</v>
      </c>
      <c r="C9" s="35">
        <v>376.3</v>
      </c>
      <c r="D9" s="35">
        <v>357.2</v>
      </c>
      <c r="E9" s="35">
        <v>364.2</v>
      </c>
      <c r="F9" s="35">
        <v>368.4</v>
      </c>
      <c r="G9" s="35">
        <v>199.4</v>
      </c>
      <c r="H9" s="36">
        <f>Capex_and_DA!H13-Goodwill_and_Intangibles!H12</f>
        <v>410.36059026799995</v>
      </c>
      <c r="I9" s="36">
        <f>Capex_and_DA!I13-Goodwill_and_Intangibles!I12</f>
        <v>393.78928694272003</v>
      </c>
      <c r="J9" s="36">
        <f>Capex_and_DA!J13-Goodwill_and_Intangibles!J12</f>
        <v>380.21718126969864</v>
      </c>
      <c r="K9" s="36">
        <f>Capex_and_DA!K13-Goodwill_and_Intangibles!K12</f>
        <v>380.63270064900121</v>
      </c>
      <c r="L9" s="36">
        <f>Capex_and_DA!L13-Goodwill_and_Intangibles!L12</f>
        <v>382.60342566466989</v>
      </c>
    </row>
    <row r="10" spans="1:12" x14ac:dyDescent="0.25">
      <c r="A10" s="26" t="s">
        <v>79</v>
      </c>
      <c r="B10" s="27">
        <f t="shared" ref="B10:L10" si="2">B7+B9</f>
        <v>553.69999999999982</v>
      </c>
      <c r="C10" s="27">
        <f t="shared" si="2"/>
        <v>576.10000000000014</v>
      </c>
      <c r="D10" s="27">
        <f t="shared" si="2"/>
        <v>627.19999999999959</v>
      </c>
      <c r="E10" s="27">
        <f t="shared" si="2"/>
        <v>636.30000000000041</v>
      </c>
      <c r="F10" s="27">
        <f t="shared" si="2"/>
        <v>691.29999999999961</v>
      </c>
      <c r="G10" s="27">
        <f t="shared" si="2"/>
        <v>371.90000000000043</v>
      </c>
      <c r="H10" s="27">
        <f t="shared" si="2"/>
        <v>774.53311026799997</v>
      </c>
      <c r="I10" s="27">
        <f t="shared" si="2"/>
        <v>779.74866621772003</v>
      </c>
      <c r="J10" s="27">
        <f t="shared" si="2"/>
        <v>785.21864376519875</v>
      </c>
      <c r="K10" s="27">
        <f t="shared" si="2"/>
        <v>802.36007581869876</v>
      </c>
      <c r="L10" s="27">
        <f t="shared" si="2"/>
        <v>816.0127964366377</v>
      </c>
    </row>
    <row r="11" spans="1:12" x14ac:dyDescent="0.25">
      <c r="A11" s="8" t="s">
        <v>80</v>
      </c>
      <c r="B11" s="28">
        <f t="shared" ref="B11:L11" si="3">B10/B5</f>
        <v>0.17075803367667916</v>
      </c>
      <c r="C11" s="28">
        <f t="shared" si="3"/>
        <v>0.16446842525979219</v>
      </c>
      <c r="D11" s="28">
        <f t="shared" si="3"/>
        <v>0.16589081675835793</v>
      </c>
      <c r="E11" s="28">
        <f t="shared" si="3"/>
        <v>0.16398216632734591</v>
      </c>
      <c r="F11" s="28">
        <f t="shared" si="3"/>
        <v>0.15442868312297545</v>
      </c>
      <c r="G11" s="28">
        <f t="shared" si="3"/>
        <v>0.15350641845874455</v>
      </c>
      <c r="H11" s="28">
        <f t="shared" si="3"/>
        <v>0.15607273510118197</v>
      </c>
      <c r="I11" s="28">
        <f t="shared" si="3"/>
        <v>0.15198566249648968</v>
      </c>
      <c r="J11" s="28">
        <f t="shared" si="3"/>
        <v>0.14862244181875689</v>
      </c>
      <c r="K11" s="28">
        <f t="shared" si="3"/>
        <v>0.14761697320405182</v>
      </c>
      <c r="L11" s="28">
        <f t="shared" si="3"/>
        <v>0.14592673606024928</v>
      </c>
    </row>
    <row r="13" spans="1:12" x14ac:dyDescent="0.25">
      <c r="A13" s="8" t="s">
        <v>81</v>
      </c>
      <c r="B13" s="24">
        <v>8.8000000000000007</v>
      </c>
      <c r="C13" s="24">
        <v>6.1</v>
      </c>
      <c r="D13" s="24">
        <v>15.2</v>
      </c>
      <c r="E13" s="24">
        <v>29.4</v>
      </c>
      <c r="F13" s="24">
        <v>31.7</v>
      </c>
      <c r="G13" s="24">
        <v>11</v>
      </c>
      <c r="H13" s="25">
        <f>Assumptions!H24</f>
        <v>28</v>
      </c>
      <c r="I13" s="25">
        <f>Assumptions!I24</f>
        <v>28</v>
      </c>
      <c r="J13" s="25">
        <f>Assumptions!J24</f>
        <v>28</v>
      </c>
      <c r="K13" s="25">
        <f>Assumptions!K24</f>
        <v>28</v>
      </c>
      <c r="L13" s="25">
        <f>Assumptions!L24</f>
        <v>28</v>
      </c>
    </row>
    <row r="14" spans="1:12" x14ac:dyDescent="0.25">
      <c r="A14" s="8" t="s">
        <v>82</v>
      </c>
      <c r="B14" s="29">
        <v>-14.7</v>
      </c>
      <c r="C14" s="29">
        <v>-11.3</v>
      </c>
      <c r="D14" s="29">
        <v>-13.3</v>
      </c>
      <c r="E14" s="29">
        <v>-22.9</v>
      </c>
      <c r="F14" s="29">
        <v>-38.9</v>
      </c>
      <c r="G14" s="29">
        <v>-28.4</v>
      </c>
      <c r="H14" s="32">
        <f>Debt_and_Leases!H18</f>
        <v>-49.628999999999998</v>
      </c>
      <c r="I14" s="32">
        <f>Debt_and_Leases!I18</f>
        <v>-43.795799999999993</v>
      </c>
      <c r="J14" s="32">
        <f>Debt_and_Leases!J18</f>
        <v>-38.170999999999999</v>
      </c>
      <c r="K14" s="32">
        <f>Debt_and_Leases!K18</f>
        <v>-35.896000000000001</v>
      </c>
      <c r="L14" s="32">
        <f>Debt_and_Leases!L18</f>
        <v>-33.795999999999999</v>
      </c>
    </row>
    <row r="15" spans="1:12" x14ac:dyDescent="0.25">
      <c r="A15" s="8" t="s">
        <v>83</v>
      </c>
      <c r="B15" s="24">
        <v>0</v>
      </c>
      <c r="C15" s="24">
        <v>0.1</v>
      </c>
      <c r="D15" s="24">
        <v>0.8</v>
      </c>
      <c r="E15" s="24">
        <v>1.4</v>
      </c>
      <c r="F15" s="24">
        <v>1.8</v>
      </c>
      <c r="G15" s="24">
        <v>1.1000000000000001</v>
      </c>
      <c r="H15" s="25">
        <f>Assumptions!H25</f>
        <v>2.5</v>
      </c>
      <c r="I15" s="25">
        <f>Assumptions!I25</f>
        <v>3</v>
      </c>
      <c r="J15" s="25">
        <f>Assumptions!J25</f>
        <v>3</v>
      </c>
      <c r="K15" s="25">
        <f>Assumptions!K25</f>
        <v>3</v>
      </c>
      <c r="L15" s="25">
        <f>Assumptions!L25</f>
        <v>3</v>
      </c>
    </row>
    <row r="16" spans="1:12" x14ac:dyDescent="0.25">
      <c r="A16" s="38" t="s">
        <v>84</v>
      </c>
      <c r="B16" s="34">
        <f t="shared" ref="B16:L16" si="4">B7+B13+B14+B15</f>
        <v>115.79999999999983</v>
      </c>
      <c r="C16" s="34">
        <f t="shared" si="4"/>
        <v>194.70000000000016</v>
      </c>
      <c r="D16" s="34">
        <f t="shared" si="4"/>
        <v>272.69999999999953</v>
      </c>
      <c r="E16" s="34">
        <f t="shared" si="4"/>
        <v>280.00000000000034</v>
      </c>
      <c r="F16" s="34">
        <f t="shared" si="4"/>
        <v>317.49999999999966</v>
      </c>
      <c r="G16" s="34">
        <f t="shared" si="4"/>
        <v>156.20000000000044</v>
      </c>
      <c r="H16" s="34">
        <f t="shared" si="4"/>
        <v>345.04352</v>
      </c>
      <c r="I16" s="34">
        <f t="shared" si="4"/>
        <v>373.16357927500002</v>
      </c>
      <c r="J16" s="34">
        <f t="shared" si="4"/>
        <v>397.83046249550006</v>
      </c>
      <c r="K16" s="34">
        <f t="shared" si="4"/>
        <v>416.83137516969748</v>
      </c>
      <c r="L16" s="34">
        <f t="shared" si="4"/>
        <v>430.61337077196782</v>
      </c>
    </row>
    <row r="17" spans="1:12" x14ac:dyDescent="0.25">
      <c r="A17" s="8" t="s">
        <v>85</v>
      </c>
      <c r="B17" s="29">
        <v>-24.1</v>
      </c>
      <c r="C17" s="29">
        <v>-41.8</v>
      </c>
      <c r="D17" s="29">
        <v>-54.2</v>
      </c>
      <c r="E17" s="29">
        <v>-55</v>
      </c>
      <c r="F17" s="29">
        <v>-61.8</v>
      </c>
      <c r="G17" s="29">
        <v>-31.3</v>
      </c>
      <c r="H17" s="32">
        <f>-H16*Assumptions!H22</f>
        <v>-67.283486400000001</v>
      </c>
      <c r="I17" s="32">
        <f>-I16*Assumptions!I22</f>
        <v>-72.766897958625009</v>
      </c>
      <c r="J17" s="32">
        <f>-J16*Assumptions!J22</f>
        <v>-77.576940186622508</v>
      </c>
      <c r="K17" s="32">
        <f>-K16*Assumptions!K22</f>
        <v>-81.282118158091009</v>
      </c>
      <c r="L17" s="32">
        <f>-L16*Assumptions!L22</f>
        <v>-83.969607300533724</v>
      </c>
    </row>
    <row r="18" spans="1:12" x14ac:dyDescent="0.25">
      <c r="A18" s="38" t="s">
        <v>86</v>
      </c>
      <c r="B18" s="34">
        <f t="shared" ref="B18:L18" si="5">B16+B17</f>
        <v>91.699999999999818</v>
      </c>
      <c r="C18" s="34">
        <f t="shared" si="5"/>
        <v>152.90000000000015</v>
      </c>
      <c r="D18" s="34">
        <f t="shared" si="5"/>
        <v>218.49999999999955</v>
      </c>
      <c r="E18" s="34">
        <f t="shared" si="5"/>
        <v>225.00000000000034</v>
      </c>
      <c r="F18" s="34">
        <f t="shared" si="5"/>
        <v>255.69999999999965</v>
      </c>
      <c r="G18" s="34">
        <f t="shared" si="5"/>
        <v>124.90000000000045</v>
      </c>
      <c r="H18" s="34">
        <f t="shared" si="5"/>
        <v>277.76003359999999</v>
      </c>
      <c r="I18" s="34">
        <f t="shared" si="5"/>
        <v>300.39668131637501</v>
      </c>
      <c r="J18" s="34">
        <f t="shared" si="5"/>
        <v>320.25352230887756</v>
      </c>
      <c r="K18" s="34">
        <f t="shared" si="5"/>
        <v>335.54925701160647</v>
      </c>
      <c r="L18" s="34">
        <f t="shared" si="5"/>
        <v>346.64376347143411</v>
      </c>
    </row>
    <row r="19" spans="1:12" x14ac:dyDescent="0.25">
      <c r="A19" s="8" t="s">
        <v>87</v>
      </c>
      <c r="B19" s="29">
        <v>-30.9</v>
      </c>
      <c r="C19" s="29">
        <v>-29.9</v>
      </c>
      <c r="D19" s="29">
        <v>-45.4</v>
      </c>
      <c r="E19" s="29">
        <v>-44.5</v>
      </c>
      <c r="F19" s="29">
        <v>-45.2</v>
      </c>
      <c r="G19" s="29">
        <v>-18.899999999999999</v>
      </c>
      <c r="H19" s="32">
        <f>-H18*Assumptions!H23</f>
        <v>-44.441605375999998</v>
      </c>
      <c r="I19" s="32">
        <f>-I18*Assumptions!I23</f>
        <v>-45.059502197456247</v>
      </c>
      <c r="J19" s="32">
        <f>-J18*Assumptions!J23</f>
        <v>-48.038028346331636</v>
      </c>
      <c r="K19" s="32">
        <f>-K18*Assumptions!K23</f>
        <v>-50.332388551740969</v>
      </c>
      <c r="L19" s="32">
        <f>-L18*Assumptions!L23</f>
        <v>-51.996564520715118</v>
      </c>
    </row>
    <row r="20" spans="1:12" x14ac:dyDescent="0.25">
      <c r="A20" s="39" t="s">
        <v>88</v>
      </c>
      <c r="B20" s="41">
        <f t="shared" ref="B20:L20" si="6">B18+B19</f>
        <v>60.79999999999982</v>
      </c>
      <c r="C20" s="41">
        <f t="shared" si="6"/>
        <v>123.00000000000014</v>
      </c>
      <c r="D20" s="41">
        <f t="shared" si="6"/>
        <v>173.09999999999954</v>
      </c>
      <c r="E20" s="41">
        <f t="shared" si="6"/>
        <v>180.50000000000034</v>
      </c>
      <c r="F20" s="41">
        <f t="shared" si="6"/>
        <v>210.49999999999966</v>
      </c>
      <c r="G20" s="41">
        <f t="shared" si="6"/>
        <v>106.00000000000045</v>
      </c>
      <c r="H20" s="41">
        <f t="shared" si="6"/>
        <v>233.318428224</v>
      </c>
      <c r="I20" s="41">
        <f t="shared" si="6"/>
        <v>255.33717911891875</v>
      </c>
      <c r="J20" s="41">
        <f t="shared" si="6"/>
        <v>272.21549396254591</v>
      </c>
      <c r="K20" s="41">
        <f t="shared" si="6"/>
        <v>285.21686845986551</v>
      </c>
      <c r="L20" s="41">
        <f t="shared" si="6"/>
        <v>294.64719895071897</v>
      </c>
    </row>
    <row r="22" spans="1:12" x14ac:dyDescent="0.25">
      <c r="A22" s="13" t="s">
        <v>89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5">
      <c r="A23" s="7" t="s">
        <v>90</v>
      </c>
      <c r="B23" s="42">
        <v>2.81</v>
      </c>
      <c r="C23" s="42">
        <v>5.68</v>
      </c>
      <c r="D23" s="42">
        <v>7.99</v>
      </c>
      <c r="E23" s="42">
        <v>8.33</v>
      </c>
      <c r="F23" s="42">
        <v>9.7200000000000006</v>
      </c>
      <c r="G23" s="42">
        <v>4.8899999999999997</v>
      </c>
      <c r="H23" s="43">
        <f>H20/Assumptions!H42*100</f>
        <v>10.768874191082803</v>
      </c>
      <c r="I23" s="43">
        <f>I20/Assumptions!I42*100</f>
        <v>11.785155502580945</v>
      </c>
      <c r="J23" s="43">
        <f>J20/Assumptions!J42*100</f>
        <v>12.564178619151939</v>
      </c>
      <c r="K23" s="43">
        <f>K20/Assumptions!K42*100</f>
        <v>13.164260521548302</v>
      </c>
      <c r="L23" s="43">
        <f>L20/Assumptions!L42*100</f>
        <v>13.599519936800469</v>
      </c>
    </row>
    <row r="24" spans="1:12" x14ac:dyDescent="0.25">
      <c r="A24" s="7" t="s">
        <v>91</v>
      </c>
      <c r="B24" s="42">
        <v>1.43</v>
      </c>
      <c r="C24" s="42">
        <v>4.2</v>
      </c>
      <c r="D24" s="42">
        <v>8.48</v>
      </c>
      <c r="E24" s="42">
        <v>6.66</v>
      </c>
      <c r="F24" s="42">
        <v>7.77</v>
      </c>
      <c r="G24" s="42">
        <v>3.91</v>
      </c>
      <c r="H24" s="43">
        <f>H23*Assumptions!H40</f>
        <v>8.0766556433121028</v>
      </c>
      <c r="I24" s="43">
        <f>I23*Assumptions!I40</f>
        <v>8.8388666269357081</v>
      </c>
      <c r="J24" s="43">
        <f>J23*Assumptions!J40</f>
        <v>9.423133964363954</v>
      </c>
      <c r="K24" s="43">
        <f>K23*Assumptions!K40</f>
        <v>9.8731953911612269</v>
      </c>
      <c r="L24" s="43">
        <f>L23*Assumptions!L40</f>
        <v>10.199639952600352</v>
      </c>
    </row>
    <row r="25" spans="1:12" x14ac:dyDescent="0.25">
      <c r="A25" s="7" t="s">
        <v>92</v>
      </c>
      <c r="B25" s="30">
        <f>B24/B23</f>
        <v>0.50889679715302483</v>
      </c>
      <c r="C25" s="30">
        <f>C24/C23</f>
        <v>0.73943661971830987</v>
      </c>
      <c r="D25" s="30">
        <f>D24/D23</f>
        <v>1.0613266583229037</v>
      </c>
      <c r="E25" s="30">
        <f>E24/E23</f>
        <v>0.79951980792316923</v>
      </c>
      <c r="F25" s="30">
        <f>F24/F23</f>
        <v>0.7993827160493826</v>
      </c>
      <c r="H25" s="30">
        <f>Assumptions!H40</f>
        <v>0.75</v>
      </c>
      <c r="I25" s="30">
        <f>Assumptions!I40</f>
        <v>0.75</v>
      </c>
      <c r="J25" s="30">
        <f>Assumptions!J40</f>
        <v>0.75</v>
      </c>
      <c r="K25" s="30">
        <f>Assumptions!K40</f>
        <v>0.75</v>
      </c>
      <c r="L25" s="30">
        <f>Assumptions!L40</f>
        <v>0.75</v>
      </c>
    </row>
    <row r="26" spans="1:12" x14ac:dyDescent="0.25">
      <c r="A26" s="7" t="s">
        <v>93</v>
      </c>
      <c r="B26" s="29">
        <v>-114.6</v>
      </c>
      <c r="C26" s="29">
        <v>-76.5</v>
      </c>
      <c r="D26" s="29">
        <v>-137.80000000000001</v>
      </c>
      <c r="E26" s="29">
        <v>-154.19999999999999</v>
      </c>
      <c r="F26" s="29">
        <v>-157.69999999999999</v>
      </c>
      <c r="H26" s="32">
        <f>-H20*Assumptions!H40</f>
        <v>-174.98882116800002</v>
      </c>
      <c r="I26" s="32">
        <f>-I20*Assumptions!I40</f>
        <v>-191.50288433918905</v>
      </c>
      <c r="J26" s="32">
        <f>-J20*Assumptions!J40</f>
        <v>-204.16162047190943</v>
      </c>
      <c r="K26" s="32">
        <f>-K20*Assumptions!K40</f>
        <v>-213.91265134489913</v>
      </c>
      <c r="L26" s="32">
        <f>-L20*Assumptions!L40</f>
        <v>-220.98539921303922</v>
      </c>
    </row>
    <row r="27" spans="1:12" x14ac:dyDescent="0.25">
      <c r="A27" s="7" t="s">
        <v>94</v>
      </c>
      <c r="B27" s="30">
        <f t="shared" ref="B27:L27" si="7">-B17/B16</f>
        <v>0.20811744386873954</v>
      </c>
      <c r="C27" s="30">
        <f t="shared" si="7"/>
        <v>0.21468926553672296</v>
      </c>
      <c r="D27" s="30">
        <f t="shared" si="7"/>
        <v>0.1987532086541991</v>
      </c>
      <c r="E27" s="30">
        <f t="shared" si="7"/>
        <v>0.1964285714285712</v>
      </c>
      <c r="F27" s="30">
        <f t="shared" si="7"/>
        <v>0.19464566929133878</v>
      </c>
      <c r="G27" s="30">
        <f t="shared" si="7"/>
        <v>0.20038412291933363</v>
      </c>
      <c r="H27" s="30">
        <f t="shared" si="7"/>
        <v>0.19500000000000001</v>
      </c>
      <c r="I27" s="30">
        <f t="shared" si="7"/>
        <v>0.19500000000000001</v>
      </c>
      <c r="J27" s="30">
        <f t="shared" si="7"/>
        <v>0.19499999999999998</v>
      </c>
      <c r="K27" s="30">
        <f t="shared" si="7"/>
        <v>0.19500000000000001</v>
      </c>
      <c r="L27" s="30">
        <f t="shared" si="7"/>
        <v>0.19500000000000001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3C061-7294-451C-9F9F-4BB9442A9574}">
  <dimension ref="A1:L41"/>
  <sheetViews>
    <sheetView showGridLines="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ht="15.75" x14ac:dyDescent="0.25">
      <c r="A1" s="5" t="s">
        <v>6</v>
      </c>
    </row>
    <row r="2" spans="1:12" x14ac:dyDescent="0.25">
      <c r="A2" s="6" t="s">
        <v>151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8" t="s">
        <v>59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 x14ac:dyDescent="0.25">
      <c r="A5" s="13" t="s">
        <v>152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5">
      <c r="A6" s="7" t="s">
        <v>153</v>
      </c>
      <c r="B6" s="24">
        <v>91.7</v>
      </c>
      <c r="C6" s="24">
        <v>152.9</v>
      </c>
      <c r="D6" s="24">
        <v>218.5</v>
      </c>
      <c r="E6" s="24">
        <v>225</v>
      </c>
      <c r="F6" s="24">
        <v>255.7</v>
      </c>
      <c r="G6" s="24">
        <v>124.9</v>
      </c>
      <c r="H6" s="25">
        <f>Income_Statement!H18</f>
        <v>277.76003359999999</v>
      </c>
      <c r="I6" s="25">
        <f>Income_Statement!I18</f>
        <v>300.39668131637501</v>
      </c>
      <c r="J6" s="25">
        <f>Income_Statement!J18</f>
        <v>320.25352230887756</v>
      </c>
      <c r="K6" s="25">
        <f>Income_Statement!K18</f>
        <v>335.54925701160647</v>
      </c>
      <c r="L6" s="25">
        <f>Income_Statement!L18</f>
        <v>346.64376347143411</v>
      </c>
    </row>
    <row r="7" spans="1:12" x14ac:dyDescent="0.25">
      <c r="A7" s="84" t="s">
        <v>278</v>
      </c>
      <c r="B7" s="24">
        <v>432</v>
      </c>
      <c r="C7" s="24">
        <v>376.3</v>
      </c>
      <c r="D7" s="24">
        <v>357.2</v>
      </c>
      <c r="E7" s="24">
        <v>364.2</v>
      </c>
      <c r="F7" s="24">
        <v>368.4</v>
      </c>
      <c r="G7" s="24">
        <v>199.4</v>
      </c>
      <c r="H7" s="25">
        <f>Income_Statement!H9</f>
        <v>410.36059026799995</v>
      </c>
      <c r="I7" s="25">
        <f>Income_Statement!I9</f>
        <v>393.78928694272003</v>
      </c>
      <c r="J7" s="25">
        <f>Income_Statement!J9</f>
        <v>380.21718126969864</v>
      </c>
      <c r="K7" s="25">
        <f>Income_Statement!K9</f>
        <v>380.63270064900121</v>
      </c>
      <c r="L7" s="25">
        <f>Income_Statement!L9</f>
        <v>382.60342566466989</v>
      </c>
    </row>
    <row r="8" spans="1:12" x14ac:dyDescent="0.25">
      <c r="A8" s="7" t="s">
        <v>154</v>
      </c>
      <c r="B8" s="29">
        <v>135.9</v>
      </c>
      <c r="C8" s="29">
        <v>95.6</v>
      </c>
      <c r="D8" s="29">
        <v>47.5</v>
      </c>
      <c r="E8" s="29">
        <v>67.900000000000006</v>
      </c>
      <c r="F8" s="29">
        <v>82.8</v>
      </c>
      <c r="H8" s="67">
        <v>55</v>
      </c>
      <c r="I8" s="67">
        <v>50</v>
      </c>
      <c r="J8" s="67">
        <v>45</v>
      </c>
      <c r="K8" s="67">
        <v>45</v>
      </c>
      <c r="L8" s="67">
        <v>45</v>
      </c>
    </row>
    <row r="9" spans="1:12" x14ac:dyDescent="0.25">
      <c r="A9" s="7" t="s">
        <v>155</v>
      </c>
      <c r="B9" s="29">
        <v>-28.5</v>
      </c>
      <c r="C9" s="29">
        <v>106.1</v>
      </c>
      <c r="D9" s="29">
        <v>59</v>
      </c>
      <c r="E9" s="29">
        <v>-125.5</v>
      </c>
      <c r="F9" s="29">
        <v>-86.6</v>
      </c>
      <c r="H9" s="32">
        <f>Working_Capital!H10</f>
        <v>18.562794520548096</v>
      </c>
      <c r="I9" s="32">
        <f>Working_Capital!I10</f>
        <v>18.652282232876587</v>
      </c>
      <c r="J9" s="32">
        <f>Working_Capital!J10</f>
        <v>19.082832864657462</v>
      </c>
      <c r="K9" s="32">
        <f>Working_Capital!K10</f>
        <v>5.0007916506082211</v>
      </c>
      <c r="L9" s="32">
        <f>Working_Capital!L10</f>
        <v>5.1457311454195178</v>
      </c>
    </row>
    <row r="10" spans="1:12" x14ac:dyDescent="0.25">
      <c r="A10" s="84" t="s">
        <v>279</v>
      </c>
      <c r="B10" s="29"/>
      <c r="C10" s="29"/>
      <c r="D10" s="29"/>
      <c r="E10" s="29"/>
      <c r="F10" s="29"/>
      <c r="H10" s="66">
        <f>-(Balance_Sheet!H9-Balance_Sheet!F9)</f>
        <v>49.118013351265205</v>
      </c>
      <c r="I10" s="66">
        <f>-(Balance_Sheet!I9-Balance_Sheet!H9)</f>
        <v>-2.4976587513311301</v>
      </c>
      <c r="J10" s="66">
        <f>-(Balance_Sheet!J9-Balance_Sheet!I9)</f>
        <v>-2.2763494535900719</v>
      </c>
      <c r="K10" s="66">
        <f>-(Balance_Sheet!K9-Balance_Sheet!J9)</f>
        <v>-2.2645191482114484</v>
      </c>
      <c r="L10" s="66">
        <f>-(Balance_Sheet!L9-Balance_Sheet!K9)</f>
        <v>-2.3301524087557084</v>
      </c>
    </row>
    <row r="11" spans="1:12" x14ac:dyDescent="0.25">
      <c r="A11" s="84" t="s">
        <v>280</v>
      </c>
      <c r="B11" s="29"/>
      <c r="C11" s="29"/>
      <c r="D11" s="29"/>
      <c r="E11" s="29"/>
      <c r="F11" s="29"/>
      <c r="H11" s="66">
        <f>Balance_Sheet!H20-Balance_Sheet!F20</f>
        <v>81.004964951521288</v>
      </c>
      <c r="I11" s="66">
        <f>Balance_Sheet!I20-Balance_Sheet!H20</f>
        <v>15.365021363486221</v>
      </c>
      <c r="J11" s="66">
        <f>Balance_Sheet!J20-Balance_Sheet!I20</f>
        <v>14.003577536975854</v>
      </c>
      <c r="K11" s="66">
        <f>Balance_Sheet!K20-Balance_Sheet!J20</f>
        <v>13.93080022310852</v>
      </c>
      <c r="L11" s="66">
        <f>Balance_Sheet!L20-Balance_Sheet!K20</f>
        <v>14.334560924957884</v>
      </c>
    </row>
    <row r="12" spans="1:12" x14ac:dyDescent="0.25">
      <c r="A12" s="84" t="s">
        <v>281</v>
      </c>
      <c r="B12" s="29">
        <v>-87.9</v>
      </c>
      <c r="C12" s="29">
        <v>-67</v>
      </c>
      <c r="D12" s="29">
        <v>-79.900000000000006</v>
      </c>
      <c r="E12" s="29">
        <v>-82.5</v>
      </c>
      <c r="F12" s="29">
        <v>-72.8</v>
      </c>
      <c r="H12" s="32">
        <f>Income_Statement!H17</f>
        <v>-67.283486400000001</v>
      </c>
      <c r="I12" s="32">
        <f>Income_Statement!I17</f>
        <v>-72.766897958625009</v>
      </c>
      <c r="J12" s="32">
        <f>Income_Statement!J17</f>
        <v>-77.576940186622508</v>
      </c>
      <c r="K12" s="32">
        <f>Income_Statement!K17</f>
        <v>-81.282118158091009</v>
      </c>
      <c r="L12" s="32">
        <f>Income_Statement!L17</f>
        <v>-83.969607300533724</v>
      </c>
    </row>
    <row r="13" spans="1:12" x14ac:dyDescent="0.25">
      <c r="A13" s="26" t="s">
        <v>156</v>
      </c>
      <c r="B13" s="44">
        <v>544.29999999999995</v>
      </c>
      <c r="C13" s="44">
        <v>656.5</v>
      </c>
      <c r="D13" s="44">
        <v>602.29999999999995</v>
      </c>
      <c r="E13" s="44">
        <v>449.1</v>
      </c>
      <c r="F13" s="44">
        <v>547.5</v>
      </c>
      <c r="G13" s="44">
        <v>140.4</v>
      </c>
      <c r="H13" s="27">
        <f>SUM(H6:H12)</f>
        <v>824.52291029133448</v>
      </c>
      <c r="I13" s="27">
        <f>SUM(I6:I12)</f>
        <v>702.93871514550176</v>
      </c>
      <c r="J13" s="27">
        <f>SUM(J6:J12)</f>
        <v>698.7038243399968</v>
      </c>
      <c r="K13" s="27">
        <f>SUM(K6:K12)</f>
        <v>696.56691222802192</v>
      </c>
      <c r="L13" s="27">
        <f>SUM(L6:L12)</f>
        <v>707.42772149719201</v>
      </c>
    </row>
    <row r="15" spans="1:12" x14ac:dyDescent="0.25">
      <c r="A15" s="13" t="s">
        <v>157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5">
      <c r="A16" s="7" t="s">
        <v>104</v>
      </c>
      <c r="B16" s="29">
        <v>-198.5</v>
      </c>
      <c r="C16" s="29">
        <v>-223.8</v>
      </c>
      <c r="D16" s="29">
        <v>-302.39999999999998</v>
      </c>
      <c r="E16" s="29">
        <v>-367.5</v>
      </c>
      <c r="F16" s="29">
        <v>-445.1</v>
      </c>
      <c r="G16" s="29">
        <v>-370.3</v>
      </c>
      <c r="H16" s="32">
        <f>-Capex_and_DA!H14</f>
        <v>-421.82457000000011</v>
      </c>
      <c r="I16" s="32">
        <f>-Capex_and_DA!I14</f>
        <v>-410.43274920000005</v>
      </c>
      <c r="J16" s="32">
        <f>-Capex_and_DA!J14</f>
        <v>-396.24835631624995</v>
      </c>
      <c r="K16" s="32">
        <f>-Capex_and_DA!K14</f>
        <v>-407.65641226920002</v>
      </c>
      <c r="L16" s="32">
        <f>-Capex_and_DA!L14</f>
        <v>-419.39511144468804</v>
      </c>
    </row>
    <row r="17" spans="1:12" x14ac:dyDescent="0.25">
      <c r="A17" s="7" t="s">
        <v>158</v>
      </c>
      <c r="B17" s="24">
        <v>86.2</v>
      </c>
      <c r="C17" s="24">
        <v>33.9</v>
      </c>
      <c r="D17" s="24">
        <v>80.099999999999994</v>
      </c>
      <c r="E17" s="24">
        <v>44.1</v>
      </c>
      <c r="F17" s="24">
        <v>72.099999999999994</v>
      </c>
      <c r="H17" s="25">
        <f>-Capex_and_DA!H8</f>
        <v>50.618948400000008</v>
      </c>
      <c r="I17" s="25">
        <f>-Capex_and_DA!I8</f>
        <v>41.043274920000009</v>
      </c>
      <c r="J17" s="25">
        <f>-Capex_and_DA!J8</f>
        <v>39.624835631624997</v>
      </c>
      <c r="K17" s="25">
        <f>-Capex_and_DA!K8</f>
        <v>40.765641226920003</v>
      </c>
      <c r="L17" s="25">
        <f>-Capex_and_DA!L8</f>
        <v>41.93951114446881</v>
      </c>
    </row>
    <row r="18" spans="1:12" x14ac:dyDescent="0.25">
      <c r="A18" s="7" t="s">
        <v>270</v>
      </c>
      <c r="B18" s="24"/>
      <c r="C18" s="24"/>
      <c r="D18" s="24"/>
      <c r="E18" s="24"/>
      <c r="F18" s="24"/>
      <c r="H18" s="66">
        <f>-Goodwill_and_Intangibles!H11</f>
        <v>-25</v>
      </c>
      <c r="I18" s="66">
        <f>-Goodwill_and_Intangibles!I11</f>
        <v>-25</v>
      </c>
      <c r="J18" s="66">
        <f>-Goodwill_and_Intangibles!J11</f>
        <v>-25</v>
      </c>
      <c r="K18" s="66">
        <f>-Goodwill_and_Intangibles!K11</f>
        <v>-25</v>
      </c>
      <c r="L18" s="66">
        <f>-Goodwill_and_Intangibles!L11</f>
        <v>-25</v>
      </c>
    </row>
    <row r="19" spans="1:12" x14ac:dyDescent="0.25">
      <c r="A19" s="7" t="s">
        <v>159</v>
      </c>
      <c r="B19" s="29">
        <v>-12</v>
      </c>
      <c r="C19" s="29">
        <v>-19.7</v>
      </c>
      <c r="D19" s="29">
        <v>-32.1</v>
      </c>
      <c r="E19" s="29">
        <v>-11.8</v>
      </c>
      <c r="F19" s="29">
        <v>-604.5</v>
      </c>
      <c r="G19" s="29">
        <v>0</v>
      </c>
      <c r="H19" s="32">
        <f>-Assumptions!H48</f>
        <v>0</v>
      </c>
      <c r="I19" s="32">
        <f>-Assumptions!I48</f>
        <v>0</v>
      </c>
      <c r="J19" s="32">
        <f>-Assumptions!J48</f>
        <v>0</v>
      </c>
      <c r="K19" s="32">
        <f>-Assumptions!K48</f>
        <v>0</v>
      </c>
      <c r="L19" s="32">
        <f>-Assumptions!L48</f>
        <v>0</v>
      </c>
    </row>
    <row r="20" spans="1:12" x14ac:dyDescent="0.25">
      <c r="A20" s="26" t="s">
        <v>160</v>
      </c>
      <c r="B20" s="53">
        <v>-109.7</v>
      </c>
      <c r="C20" s="53">
        <v>-199.4</v>
      </c>
      <c r="D20" s="53">
        <v>-251</v>
      </c>
      <c r="E20" s="53">
        <v>-330.5</v>
      </c>
      <c r="F20" s="53">
        <v>-970.1</v>
      </c>
      <c r="G20" s="53">
        <v>-344.5</v>
      </c>
      <c r="H20" s="34">
        <f>SUM(H16:H19)</f>
        <v>-396.20562160000009</v>
      </c>
      <c r="I20" s="34">
        <f>SUM(I16:I19)</f>
        <v>-394.38947428000006</v>
      </c>
      <c r="J20" s="34">
        <f>SUM(J16:J19)</f>
        <v>-381.62352068462496</v>
      </c>
      <c r="K20" s="34">
        <f>SUM(K16:K19)</f>
        <v>-391.89077104227999</v>
      </c>
      <c r="L20" s="34">
        <f>SUM(L16:L19)</f>
        <v>-402.4556003002192</v>
      </c>
    </row>
    <row r="22" spans="1:12" x14ac:dyDescent="0.25">
      <c r="A22" s="13" t="s">
        <v>161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5">
      <c r="A23" s="7" t="s">
        <v>162</v>
      </c>
      <c r="B23" s="29">
        <v>-116.6</v>
      </c>
      <c r="C23" s="29">
        <v>-143.9</v>
      </c>
      <c r="D23" s="29">
        <v>-50.1</v>
      </c>
      <c r="E23" s="29">
        <v>47.8</v>
      </c>
      <c r="F23" s="29">
        <v>722.2</v>
      </c>
      <c r="H23" s="32">
        <f>Debt_and_Leases!H7</f>
        <v>-100</v>
      </c>
      <c r="I23" s="32">
        <f>Debt_and_Leases!I7</f>
        <v>-80</v>
      </c>
      <c r="J23" s="32">
        <f>Debt_and_Leases!J7</f>
        <v>-60</v>
      </c>
      <c r="K23" s="32">
        <f>Debt_and_Leases!K7</f>
        <v>-50</v>
      </c>
      <c r="L23" s="32">
        <f>Debt_and_Leases!L7</f>
        <v>-50</v>
      </c>
    </row>
    <row r="24" spans="1:12" x14ac:dyDescent="0.25">
      <c r="A24" s="7" t="s">
        <v>114</v>
      </c>
      <c r="B24" s="29">
        <v>-30.8</v>
      </c>
      <c r="C24" s="29">
        <v>-30.6</v>
      </c>
      <c r="D24" s="29">
        <v>-42.2</v>
      </c>
      <c r="E24" s="29">
        <v>-45</v>
      </c>
      <c r="F24" s="29">
        <v>-42.6</v>
      </c>
      <c r="H24" s="32">
        <f>Debt_and_Leases!H13</f>
        <v>-60</v>
      </c>
      <c r="I24" s="32">
        <f>Debt_and_Leases!I13</f>
        <v>-55</v>
      </c>
      <c r="J24" s="32">
        <f>Debt_and_Leases!J13</f>
        <v>-55</v>
      </c>
      <c r="K24" s="32">
        <f>Debt_and_Leases!K13</f>
        <v>-55</v>
      </c>
      <c r="L24" s="32">
        <f>Debt_and_Leases!L13</f>
        <v>-55</v>
      </c>
    </row>
    <row r="25" spans="1:12" x14ac:dyDescent="0.25">
      <c r="A25" s="7" t="s">
        <v>163</v>
      </c>
      <c r="B25" s="29">
        <v>-114.6</v>
      </c>
      <c r="C25" s="29">
        <v>-76.5</v>
      </c>
      <c r="D25" s="29">
        <v>-137.80000000000001</v>
      </c>
      <c r="E25" s="29">
        <v>-154.19999999999999</v>
      </c>
      <c r="F25" s="29">
        <v>-157.69999999999999</v>
      </c>
      <c r="H25" s="32">
        <f>Income_Statement!H26</f>
        <v>-174.98882116800002</v>
      </c>
      <c r="I25" s="32">
        <f>Income_Statement!I26</f>
        <v>-191.50288433918905</v>
      </c>
      <c r="J25" s="32">
        <f>Income_Statement!J26</f>
        <v>-204.16162047190943</v>
      </c>
      <c r="K25" s="32">
        <f>Income_Statement!K26</f>
        <v>-213.91265134489913</v>
      </c>
      <c r="L25" s="32">
        <f>Income_Statement!L26</f>
        <v>-220.98539921303922</v>
      </c>
    </row>
    <row r="26" spans="1:12" x14ac:dyDescent="0.25">
      <c r="A26" s="7" t="s">
        <v>164</v>
      </c>
      <c r="B26" s="29">
        <v>-29.8</v>
      </c>
      <c r="C26" s="29">
        <v>-30.9</v>
      </c>
      <c r="D26" s="29">
        <v>-33.5</v>
      </c>
      <c r="E26" s="29">
        <v>-57.7</v>
      </c>
      <c r="F26" s="29">
        <v>-32.6</v>
      </c>
      <c r="H26" s="32">
        <f>Assumptions!H41</f>
        <v>-38</v>
      </c>
      <c r="I26" s="32">
        <f>Assumptions!I41</f>
        <v>-35</v>
      </c>
      <c r="J26" s="32">
        <f>Assumptions!J41</f>
        <v>-35</v>
      </c>
      <c r="K26" s="32">
        <f>Assumptions!K41</f>
        <v>-35</v>
      </c>
      <c r="L26" s="32">
        <f>Assumptions!L41</f>
        <v>-35</v>
      </c>
    </row>
    <row r="27" spans="1:12" x14ac:dyDescent="0.25">
      <c r="A27" s="7" t="s">
        <v>198</v>
      </c>
      <c r="B27" s="29">
        <v>-10</v>
      </c>
      <c r="C27" s="29">
        <v>-4.0999999999999996</v>
      </c>
      <c r="D27" s="29">
        <v>-11.1</v>
      </c>
      <c r="E27" s="29">
        <v>-14.1</v>
      </c>
      <c r="F27" s="29">
        <v>-30.6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</row>
    <row r="28" spans="1:12" x14ac:dyDescent="0.25">
      <c r="A28" s="26" t="s">
        <v>165</v>
      </c>
      <c r="B28" s="53">
        <v>-301.8</v>
      </c>
      <c r="C28" s="53">
        <v>-287.2</v>
      </c>
      <c r="D28" s="53">
        <v>-274.7</v>
      </c>
      <c r="E28" s="53">
        <v>-224.1</v>
      </c>
      <c r="F28" s="53">
        <v>458.7</v>
      </c>
      <c r="G28" s="53">
        <v>188.1</v>
      </c>
      <c r="H28" s="34">
        <f>SUM(H23:H27)</f>
        <v>-372.98882116800002</v>
      </c>
      <c r="I28" s="34">
        <f>SUM(I23:I27)</f>
        <v>-361.50288433918905</v>
      </c>
      <c r="J28" s="34">
        <f>SUM(J23:J27)</f>
        <v>-354.16162047190943</v>
      </c>
      <c r="K28" s="34">
        <f>SUM(K23:K27)</f>
        <v>-353.91265134489913</v>
      </c>
      <c r="L28" s="34">
        <f>SUM(L23:L27)</f>
        <v>-360.98539921303922</v>
      </c>
    </row>
    <row r="29" spans="1:12" x14ac:dyDescent="0.25">
      <c r="A29" s="7" t="s">
        <v>166</v>
      </c>
      <c r="B29" s="29">
        <v>15.8</v>
      </c>
      <c r="C29" s="29">
        <v>6.4</v>
      </c>
      <c r="D29" s="29">
        <v>-28.7</v>
      </c>
      <c r="E29" s="29">
        <v>-4.5999999999999996</v>
      </c>
      <c r="F29" s="29">
        <v>-0.6</v>
      </c>
      <c r="H29" s="32">
        <f>Assumptions!H49</f>
        <v>-10</v>
      </c>
      <c r="I29" s="32">
        <f>Assumptions!I49</f>
        <v>-10</v>
      </c>
      <c r="J29" s="32">
        <f>Assumptions!J49</f>
        <v>-5</v>
      </c>
      <c r="K29" s="32">
        <f>Assumptions!K49</f>
        <v>-5</v>
      </c>
      <c r="L29" s="32">
        <f>Assumptions!L49</f>
        <v>-5</v>
      </c>
    </row>
    <row r="30" spans="1:12" x14ac:dyDescent="0.25">
      <c r="A30" s="49" t="s">
        <v>167</v>
      </c>
      <c r="B30" s="54">
        <v>742.8</v>
      </c>
      <c r="C30" s="54">
        <v>919.1</v>
      </c>
      <c r="D30" s="54">
        <v>967</v>
      </c>
      <c r="E30" s="54">
        <v>856.9</v>
      </c>
      <c r="F30" s="54">
        <v>892.4</v>
      </c>
      <c r="G30" s="54">
        <v>873.1</v>
      </c>
      <c r="H30" s="40">
        <f>F30+H13+H20+H28+H29</f>
        <v>937.72846752333453</v>
      </c>
      <c r="I30" s="40">
        <f>H30+I13+I20+I28+I29</f>
        <v>874.77482404964712</v>
      </c>
      <c r="J30" s="40">
        <f>I30+J13+J20+J28+J29</f>
        <v>832.69350723310959</v>
      </c>
      <c r="K30" s="40">
        <f>J30+K13+K20+K28+K29</f>
        <v>778.45699707395238</v>
      </c>
      <c r="L30" s="40">
        <f>K30+L13+L20+L28+L29</f>
        <v>717.4437190578858</v>
      </c>
    </row>
    <row r="32" spans="1:12" x14ac:dyDescent="0.25">
      <c r="A32" s="9" t="s">
        <v>168</v>
      </c>
      <c r="B32" s="55">
        <f>B13+B16</f>
        <v>345.79999999999995</v>
      </c>
      <c r="C32" s="55">
        <f>C13+C16</f>
        <v>432.7</v>
      </c>
      <c r="D32" s="55">
        <f>D13+D16</f>
        <v>299.89999999999998</v>
      </c>
      <c r="E32" s="55">
        <f>E13+E16</f>
        <v>81.600000000000023</v>
      </c>
      <c r="F32" s="55">
        <f>F13+F16</f>
        <v>102.39999999999998</v>
      </c>
      <c r="H32" s="55">
        <f>H13+H16</f>
        <v>402.69834029133438</v>
      </c>
      <c r="I32" s="55">
        <f>I13+I16</f>
        <v>292.50596594550171</v>
      </c>
      <c r="J32" s="55">
        <f>J13+J16</f>
        <v>302.45546802374685</v>
      </c>
      <c r="K32" s="55">
        <f>K13+K16</f>
        <v>288.9104999588219</v>
      </c>
      <c r="L32" s="55">
        <f>L13+L16</f>
        <v>288.03261005250397</v>
      </c>
    </row>
    <row r="34" spans="1:12" x14ac:dyDescent="0.25">
      <c r="A34" s="13" t="s">
        <v>271</v>
      </c>
    </row>
    <row r="35" spans="1:12" x14ac:dyDescent="0.25">
      <c r="A35" s="7" t="s">
        <v>272</v>
      </c>
      <c r="H35" s="66">
        <f>Income_Statement!H7</f>
        <v>364.17252000000002</v>
      </c>
      <c r="I35" s="66">
        <f>Income_Statement!I7</f>
        <v>385.959379275</v>
      </c>
      <c r="J35" s="66">
        <f>Income_Statement!J7</f>
        <v>405.00146249550005</v>
      </c>
      <c r="K35" s="66">
        <f>Income_Statement!K7</f>
        <v>421.7273751696975</v>
      </c>
      <c r="L35" s="66">
        <f>Income_Statement!L7</f>
        <v>433.40937077196782</v>
      </c>
    </row>
    <row r="36" spans="1:12" x14ac:dyDescent="0.25">
      <c r="A36" s="7" t="s">
        <v>273</v>
      </c>
      <c r="H36" s="66">
        <f>-H35*Assumptions!H22</f>
        <v>-71.013641400000012</v>
      </c>
      <c r="I36" s="66">
        <f>-I35*Assumptions!I22</f>
        <v>-75.262078958624997</v>
      </c>
      <c r="J36" s="66">
        <f>-J35*Assumptions!J22</f>
        <v>-78.975285186622514</v>
      </c>
      <c r="K36" s="66">
        <f>-K35*Assumptions!K22</f>
        <v>-82.236838158091018</v>
      </c>
      <c r="L36" s="66">
        <f>-L35*Assumptions!L22</f>
        <v>-84.514827300533724</v>
      </c>
    </row>
    <row r="37" spans="1:12" x14ac:dyDescent="0.25">
      <c r="A37" s="26" t="s">
        <v>274</v>
      </c>
      <c r="H37" s="80">
        <f>H35+H36</f>
        <v>293.15887859999998</v>
      </c>
      <c r="I37" s="80">
        <f>I35+I36</f>
        <v>310.69730031637499</v>
      </c>
      <c r="J37" s="80">
        <f>J35+J36</f>
        <v>326.02617730887755</v>
      </c>
      <c r="K37" s="80">
        <f>K35+K36</f>
        <v>339.49053701160648</v>
      </c>
      <c r="L37" s="80">
        <f>L35+L36</f>
        <v>348.89454347143408</v>
      </c>
    </row>
    <row r="38" spans="1:12" x14ac:dyDescent="0.25">
      <c r="A38" s="84" t="s">
        <v>278</v>
      </c>
      <c r="H38" s="66">
        <f>Income_Statement!H9</f>
        <v>410.36059026799995</v>
      </c>
      <c r="I38" s="66">
        <f>Income_Statement!I9</f>
        <v>393.78928694272003</v>
      </c>
      <c r="J38" s="66">
        <f>Income_Statement!J9</f>
        <v>380.21718126969864</v>
      </c>
      <c r="K38" s="66">
        <f>Income_Statement!K9</f>
        <v>380.63270064900121</v>
      </c>
      <c r="L38" s="66">
        <f>Income_Statement!L9</f>
        <v>382.60342566466989</v>
      </c>
    </row>
    <row r="39" spans="1:12" x14ac:dyDescent="0.25">
      <c r="A39" s="84" t="s">
        <v>282</v>
      </c>
      <c r="H39" s="66">
        <f>H16</f>
        <v>-421.82457000000011</v>
      </c>
      <c r="I39" s="66">
        <f>I16</f>
        <v>-410.43274920000005</v>
      </c>
      <c r="J39" s="66">
        <f>J16</f>
        <v>-396.24835631624995</v>
      </c>
      <c r="K39" s="66">
        <f>K16</f>
        <v>-407.65641226920002</v>
      </c>
      <c r="L39" s="66">
        <f>L16</f>
        <v>-419.39511144468804</v>
      </c>
    </row>
    <row r="40" spans="1:12" x14ac:dyDescent="0.25">
      <c r="A40" s="84" t="s">
        <v>283</v>
      </c>
      <c r="H40" s="66">
        <f>-Working_Capital!H10</f>
        <v>-18.562794520548096</v>
      </c>
      <c r="I40" s="66">
        <f>-Working_Capital!I10</f>
        <v>-18.652282232876587</v>
      </c>
      <c r="J40" s="66">
        <f>-Working_Capital!J10</f>
        <v>-19.082832864657462</v>
      </c>
      <c r="K40" s="66">
        <f>-Working_Capital!K10</f>
        <v>-5.0007916506082211</v>
      </c>
      <c r="L40" s="66">
        <f>-Working_Capital!L10</f>
        <v>-5.1457311454195178</v>
      </c>
    </row>
    <row r="41" spans="1:12" x14ac:dyDescent="0.25">
      <c r="A41" s="10" t="s">
        <v>275</v>
      </c>
      <c r="H41" s="81">
        <f>SUM(H37:H40)</f>
        <v>263.13210434745167</v>
      </c>
      <c r="I41" s="81">
        <f>SUM(I37:I40)</f>
        <v>275.40155582621838</v>
      </c>
      <c r="J41" s="81">
        <f>SUM(J37:J40)</f>
        <v>290.91216939766872</v>
      </c>
      <c r="K41" s="81">
        <f>SUM(K37:K40)</f>
        <v>307.46603374079939</v>
      </c>
      <c r="L41" s="81">
        <f>SUM(L37:L40)</f>
        <v>306.9571265459964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8A72-5A85-42D5-905B-85D5DCA9DCB4}">
  <dimension ref="A1:L30"/>
  <sheetViews>
    <sheetView showGridLines="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ht="15.75" x14ac:dyDescent="0.25">
      <c r="A1" s="5" t="s">
        <v>6</v>
      </c>
    </row>
    <row r="2" spans="1:12" x14ac:dyDescent="0.25">
      <c r="A2" s="6" t="s">
        <v>122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8" t="s">
        <v>59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 x14ac:dyDescent="0.25">
      <c r="A5" s="13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5">
      <c r="A6" s="7" t="s">
        <v>124</v>
      </c>
      <c r="B6" s="24">
        <v>742.8</v>
      </c>
      <c r="C6" s="24">
        <v>919.1</v>
      </c>
      <c r="D6" s="24">
        <v>967</v>
      </c>
      <c r="E6" s="24">
        <v>856.9</v>
      </c>
      <c r="F6" s="24">
        <v>892.4</v>
      </c>
      <c r="G6" s="24">
        <v>873.1</v>
      </c>
      <c r="H6" s="25">
        <f>Cash_Flow!H30</f>
        <v>937.72846752333453</v>
      </c>
      <c r="I6" s="25">
        <f>Cash_Flow!I30</f>
        <v>874.77482404964712</v>
      </c>
      <c r="J6" s="25">
        <f>Cash_Flow!J30</f>
        <v>832.69350723310959</v>
      </c>
      <c r="K6" s="25">
        <f>Cash_Flow!K30</f>
        <v>778.45699707395238</v>
      </c>
      <c r="L6" s="25">
        <f>Cash_Flow!L30</f>
        <v>717.4437190578858</v>
      </c>
    </row>
    <row r="7" spans="1:12" x14ac:dyDescent="0.25">
      <c r="A7" s="7" t="s">
        <v>125</v>
      </c>
      <c r="B7" s="24">
        <v>589</v>
      </c>
      <c r="C7" s="24">
        <v>569.79999999999995</v>
      </c>
      <c r="D7" s="24">
        <v>476.7</v>
      </c>
      <c r="E7" s="24">
        <v>532.70000000000005</v>
      </c>
      <c r="F7" s="24">
        <v>725.7</v>
      </c>
      <c r="H7" s="25">
        <f>Working_Capital!H6</f>
        <v>720.60281095890412</v>
      </c>
      <c r="I7" s="25">
        <f>Working_Capital!I6</f>
        <v>730.90763556164393</v>
      </c>
      <c r="J7" s="25">
        <f>Working_Capital!J6</f>
        <v>723.74129007534248</v>
      </c>
      <c r="K7" s="25">
        <f>Working_Capital!K6</f>
        <v>744.57792195287686</v>
      </c>
      <c r="L7" s="25">
        <f>Working_Capital!L6</f>
        <v>766.0184683921243</v>
      </c>
    </row>
    <row r="8" spans="1:12" x14ac:dyDescent="0.25">
      <c r="A8" s="7" t="s">
        <v>126</v>
      </c>
      <c r="B8" s="24">
        <v>127.9</v>
      </c>
      <c r="C8" s="24">
        <v>116.9</v>
      </c>
      <c r="D8" s="24">
        <v>120.1</v>
      </c>
      <c r="E8" s="24">
        <v>141.69999999999999</v>
      </c>
      <c r="F8" s="24">
        <v>158</v>
      </c>
      <c r="H8" s="25">
        <f>Working_Capital!H7</f>
        <v>176.75163287671236</v>
      </c>
      <c r="I8" s="25">
        <f>Working_Capital!I7</f>
        <v>168.67099282191782</v>
      </c>
      <c r="J8" s="25">
        <f>Working_Capital!J7</f>
        <v>173.69790961808218</v>
      </c>
      <c r="K8" s="25">
        <f>Working_Capital!K7</f>
        <v>178.69870126869043</v>
      </c>
      <c r="L8" s="25">
        <f>Working_Capital!L7</f>
        <v>183.84443241410983</v>
      </c>
    </row>
    <row r="9" spans="1:12" x14ac:dyDescent="0.25">
      <c r="A9" s="7" t="s">
        <v>127</v>
      </c>
      <c r="B9" s="24">
        <v>0</v>
      </c>
      <c r="C9" s="24">
        <v>14.8</v>
      </c>
      <c r="D9" s="24">
        <f>Historical_Financials!D28</f>
        <v>80.900000000000063</v>
      </c>
      <c r="E9" s="24">
        <f>Historical_Financials!E28</f>
        <v>82.799999999999898</v>
      </c>
      <c r="F9" s="24">
        <f>Historical_Financials!F28</f>
        <v>122.99999999999989</v>
      </c>
      <c r="H9" s="48">
        <f>Income_Statement!H5*Assumptions!H31</f>
        <v>73.881986648734681</v>
      </c>
      <c r="I9" s="48">
        <f>Income_Statement!I5*Assumptions!I31</f>
        <v>76.379645400065812</v>
      </c>
      <c r="J9" s="48">
        <f>Income_Statement!J5*Assumptions!J31</f>
        <v>78.655994853655884</v>
      </c>
      <c r="K9" s="48">
        <f>Income_Statement!K5*Assumptions!K31</f>
        <v>80.920514001867332</v>
      </c>
      <c r="L9" s="48">
        <f>Income_Statement!L5*Assumptions!L31</f>
        <v>83.25066641062304</v>
      </c>
    </row>
    <row r="10" spans="1:12" x14ac:dyDescent="0.25">
      <c r="A10" s="7" t="s">
        <v>128</v>
      </c>
      <c r="B10" s="24">
        <v>2337.5</v>
      </c>
      <c r="C10" s="24">
        <v>2191.9</v>
      </c>
      <c r="D10" s="24">
        <v>2038.4</v>
      </c>
      <c r="E10" s="24">
        <v>2012.1</v>
      </c>
      <c r="F10" s="24">
        <v>2129.6</v>
      </c>
      <c r="G10" s="24">
        <v>2136.1999999999998</v>
      </c>
      <c r="H10" s="25">
        <f>Capex_and_DA!H11</f>
        <v>2110.4450313319999</v>
      </c>
      <c r="I10" s="25">
        <f>Capex_and_DA!I11</f>
        <v>2106.0452186692801</v>
      </c>
      <c r="J10" s="25">
        <f>Capex_and_DA!J11</f>
        <v>2102.4515580842062</v>
      </c>
      <c r="K10" s="25">
        <f>Capex_and_DA!K11</f>
        <v>2108.7096284774852</v>
      </c>
      <c r="L10" s="25">
        <f>Capex_and_DA!L11</f>
        <v>2123.5618031130348</v>
      </c>
    </row>
    <row r="11" spans="1:12" x14ac:dyDescent="0.25">
      <c r="A11" s="7" t="s">
        <v>129</v>
      </c>
      <c r="B11" s="24">
        <v>659.4</v>
      </c>
      <c r="C11" s="24">
        <v>646.9</v>
      </c>
      <c r="D11" s="24">
        <v>614.5</v>
      </c>
      <c r="E11" s="24">
        <v>616.9</v>
      </c>
      <c r="F11" s="24">
        <v>1104</v>
      </c>
      <c r="G11" s="24">
        <v>1077.4000000000001</v>
      </c>
      <c r="H11" s="48">
        <f>Goodwill_and_Intangibles!H7</f>
        <v>1104</v>
      </c>
      <c r="I11" s="48">
        <f>Goodwill_and_Intangibles!I7</f>
        <v>1104</v>
      </c>
      <c r="J11" s="48">
        <f>Goodwill_and_Intangibles!J7</f>
        <v>1104</v>
      </c>
      <c r="K11" s="48">
        <f>Goodwill_and_Intangibles!K7</f>
        <v>1104</v>
      </c>
      <c r="L11" s="48">
        <f>Goodwill_and_Intangibles!L7</f>
        <v>1104</v>
      </c>
    </row>
    <row r="12" spans="1:12" x14ac:dyDescent="0.25">
      <c r="A12" s="7" t="s">
        <v>130</v>
      </c>
      <c r="B12" s="24">
        <v>210.6</v>
      </c>
      <c r="C12" s="24">
        <v>220</v>
      </c>
      <c r="D12" s="24">
        <v>201.8</v>
      </c>
      <c r="E12" s="24">
        <v>205.7</v>
      </c>
      <c r="F12" s="24">
        <v>354.2</v>
      </c>
      <c r="G12" s="24">
        <v>390.7</v>
      </c>
      <c r="H12" s="48">
        <f>Goodwill_and_Intangibles!H13</f>
        <v>359.2</v>
      </c>
      <c r="I12" s="48">
        <f>Goodwill_and_Intangibles!I13</f>
        <v>364.2</v>
      </c>
      <c r="J12" s="48">
        <f>Goodwill_and_Intangibles!J13</f>
        <v>369.2</v>
      </c>
      <c r="K12" s="48">
        <f>Goodwill_and_Intangibles!K13</f>
        <v>374.2</v>
      </c>
      <c r="L12" s="48">
        <f>Goodwill_and_Intangibles!L13</f>
        <v>379.2</v>
      </c>
    </row>
    <row r="13" spans="1:12" x14ac:dyDescent="0.25">
      <c r="A13" s="7" t="s">
        <v>131</v>
      </c>
      <c r="B13" s="24">
        <v>259.8</v>
      </c>
      <c r="C13" s="24">
        <v>235</v>
      </c>
      <c r="D13" s="24">
        <f>Historical_Financials!D16-D6-D7-D8-D9-D10-D11-D12</f>
        <v>202.49999999999972</v>
      </c>
      <c r="E13" s="24">
        <f>Historical_Financials!E16-E6-E7-E8-E9-E10-E11-E12</f>
        <v>240.90000000000003</v>
      </c>
      <c r="F13" s="24">
        <f>Historical_Financials!F16-F6-F7-F8-F9-F10-F11-F12</f>
        <v>238.90000000000083</v>
      </c>
      <c r="H13" s="48">
        <f>H28-H6-H7-H8-H9-H10-H11-H12</f>
        <v>313.38348639999941</v>
      </c>
      <c r="I13" s="48">
        <f>I28-I6-I7-I8-I9-I10-I11-I12</f>
        <v>391.15038435862499</v>
      </c>
      <c r="J13" s="48">
        <f>J28-J6-J7-J8-J9-J10-J11-J12</f>
        <v>473.72732454524777</v>
      </c>
      <c r="K13" s="48">
        <f>K28-K6-K7-K8-K9-K10-K11-K12</f>
        <v>560.00944270333889</v>
      </c>
      <c r="L13" s="48">
        <f>L28-L6-L7-L8-L9-L10-L11-L12</f>
        <v>648.97905000387277</v>
      </c>
    </row>
    <row r="14" spans="1:12" x14ac:dyDescent="0.25">
      <c r="A14" s="49" t="s">
        <v>132</v>
      </c>
      <c r="B14" s="40">
        <f>SUM(B6:B13)</f>
        <v>4927</v>
      </c>
      <c r="C14" s="40">
        <f>SUM(C6:C13)</f>
        <v>4914.3999999999996</v>
      </c>
      <c r="D14" s="40">
        <f>SUM(D6:D13)</f>
        <v>4701.9000000000005</v>
      </c>
      <c r="E14" s="40">
        <f>SUM(E6:E13)</f>
        <v>4689.6999999999989</v>
      </c>
      <c r="F14" s="40">
        <f>SUM(F6:F13)</f>
        <v>5725.8</v>
      </c>
      <c r="H14" s="40">
        <f>SUM(H6:H13)</f>
        <v>5795.9934157396847</v>
      </c>
      <c r="I14" s="40">
        <f>SUM(I6:I13)</f>
        <v>5816.1287008611798</v>
      </c>
      <c r="J14" s="40">
        <f>SUM(J6:J13)</f>
        <v>5858.1675844096444</v>
      </c>
      <c r="K14" s="40">
        <f>SUM(K6:K13)</f>
        <v>5929.5732054782111</v>
      </c>
      <c r="L14" s="40">
        <f>SUM(L6:L13)</f>
        <v>6006.2981393916498</v>
      </c>
    </row>
    <row r="16" spans="1:12" x14ac:dyDescent="0.25">
      <c r="A16" s="13" t="s">
        <v>133</v>
      </c>
      <c r="B16" s="14">
        <v>463.7</v>
      </c>
      <c r="C16" s="14">
        <v>341</v>
      </c>
      <c r="D16" s="14"/>
      <c r="E16" s="14"/>
      <c r="F16" s="14"/>
      <c r="G16" s="14"/>
      <c r="H16" s="14"/>
      <c r="I16" s="14"/>
      <c r="J16" s="14"/>
      <c r="K16" s="14"/>
      <c r="L16" s="14"/>
    </row>
    <row r="17" spans="1:12" x14ac:dyDescent="0.25">
      <c r="A17" s="7" t="s">
        <v>134</v>
      </c>
      <c r="B17" s="24">
        <v>463.7</v>
      </c>
      <c r="C17" s="24">
        <v>341</v>
      </c>
      <c r="D17" s="24">
        <v>292.2</v>
      </c>
      <c r="E17" s="24">
        <v>350.3</v>
      </c>
      <c r="F17" s="24">
        <v>1081.5999999999999</v>
      </c>
      <c r="H17" s="25">
        <f>Debt_and_Leases!H8</f>
        <v>981.59999999999991</v>
      </c>
      <c r="I17" s="25">
        <f>Debt_and_Leases!I8</f>
        <v>901.59999999999991</v>
      </c>
      <c r="J17" s="25">
        <f>Debt_and_Leases!J8</f>
        <v>841.59999999999991</v>
      </c>
      <c r="K17" s="25">
        <f>Debt_and_Leases!K8</f>
        <v>791.59999999999991</v>
      </c>
      <c r="L17" s="25">
        <f>Debt_and_Leases!L8</f>
        <v>741.59999999999991</v>
      </c>
    </row>
    <row r="18" spans="1:12" x14ac:dyDescent="0.25">
      <c r="A18" s="7" t="s">
        <v>135</v>
      </c>
      <c r="B18" s="24">
        <v>188.9</v>
      </c>
      <c r="C18" s="24">
        <v>218.7</v>
      </c>
      <c r="D18" s="24">
        <v>189.5</v>
      </c>
      <c r="E18" s="24">
        <v>168.8</v>
      </c>
      <c r="F18" s="24">
        <v>244</v>
      </c>
      <c r="H18" s="25">
        <f>Debt_and_Leases!H14</f>
        <v>234</v>
      </c>
      <c r="I18" s="25">
        <f>Debt_and_Leases!I14</f>
        <v>224</v>
      </c>
      <c r="J18" s="25">
        <f>Debt_and_Leases!J14</f>
        <v>214</v>
      </c>
      <c r="K18" s="25">
        <f>Debt_and_Leases!K14</f>
        <v>204</v>
      </c>
      <c r="L18" s="25">
        <f>Debt_and_Leases!L14</f>
        <v>194</v>
      </c>
    </row>
    <row r="19" spans="1:12" x14ac:dyDescent="0.25">
      <c r="A19" s="7" t="s">
        <v>136</v>
      </c>
      <c r="B19" s="24">
        <v>675</v>
      </c>
      <c r="C19" s="24">
        <v>775.6</v>
      </c>
      <c r="D19" s="24">
        <v>832.2</v>
      </c>
      <c r="E19" s="24">
        <v>807.4</v>
      </c>
      <c r="F19" s="24">
        <v>1001.1</v>
      </c>
      <c r="H19" s="25">
        <f>Working_Capital!H8</f>
        <v>1033.3172383561646</v>
      </c>
      <c r="I19" s="25">
        <f>Working_Capital!I8</f>
        <v>1054.1937051369864</v>
      </c>
      <c r="J19" s="25">
        <f>Working_Capital!J8</f>
        <v>1071.1371093115067</v>
      </c>
      <c r="K19" s="25">
        <f>Working_Capital!K8</f>
        <v>1101.9753244902577</v>
      </c>
      <c r="L19" s="25">
        <f>Working_Capital!L8</f>
        <v>1133.707333220344</v>
      </c>
    </row>
    <row r="20" spans="1:12" x14ac:dyDescent="0.25">
      <c r="A20" s="7" t="s">
        <v>137</v>
      </c>
      <c r="B20" s="24">
        <v>552.20000000000005</v>
      </c>
      <c r="C20" s="24">
        <v>470.7</v>
      </c>
      <c r="D20" s="24">
        <f>Historical_Financials!D33</f>
        <v>383</v>
      </c>
      <c r="E20" s="24">
        <f>Historical_Financials!E33</f>
        <v>349.30000000000007</v>
      </c>
      <c r="F20" s="24">
        <f>Historical_Financials!F33</f>
        <v>373.49999999999989</v>
      </c>
      <c r="H20" s="48">
        <f>Income_Statement!H5*Assumptions!H32</f>
        <v>454.50496495152117</v>
      </c>
      <c r="I20" s="48">
        <f>Income_Statement!I5*Assumptions!I32</f>
        <v>469.8699863150074</v>
      </c>
      <c r="J20" s="48">
        <f>Income_Statement!J5*Assumptions!J32</f>
        <v>483.87356385198325</v>
      </c>
      <c r="K20" s="48">
        <f>Income_Statement!K5*Assumptions!K32</f>
        <v>497.80436407509177</v>
      </c>
      <c r="L20" s="48">
        <f>Income_Statement!L5*Assumptions!L32</f>
        <v>512.13892500004965</v>
      </c>
    </row>
    <row r="21" spans="1:12" x14ac:dyDescent="0.25">
      <c r="A21" s="26" t="s">
        <v>138</v>
      </c>
      <c r="B21" s="27">
        <f>SUM(B17:B20)</f>
        <v>1879.8</v>
      </c>
      <c r="C21" s="27">
        <f>SUM(C17:C20)</f>
        <v>1806.0000000000002</v>
      </c>
      <c r="D21" s="27">
        <f>SUM(D17:D20)</f>
        <v>1696.9</v>
      </c>
      <c r="E21" s="27">
        <f>SUM(E17:E20)</f>
        <v>1675.8000000000002</v>
      </c>
      <c r="F21" s="27">
        <f>SUM(F17:F20)</f>
        <v>2700.2</v>
      </c>
      <c r="H21" s="27">
        <f>SUM(H17:H20)</f>
        <v>2703.4222033076858</v>
      </c>
      <c r="I21" s="27">
        <f>SUM(I17:I20)</f>
        <v>2649.6636914519936</v>
      </c>
      <c r="J21" s="27">
        <f>SUM(J17:J20)</f>
        <v>2610.61067316349</v>
      </c>
      <c r="K21" s="27">
        <f>SUM(K17:K20)</f>
        <v>2595.3796885653492</v>
      </c>
      <c r="L21" s="27">
        <f>SUM(L17:L20)</f>
        <v>2581.4462582203937</v>
      </c>
    </row>
    <row r="23" spans="1:12" x14ac:dyDescent="0.25">
      <c r="A23" s="13" t="s">
        <v>139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25">
      <c r="A24" s="7" t="s">
        <v>140</v>
      </c>
      <c r="B24" s="24">
        <f>Historical_Financials!B18-B25-B26</f>
        <v>732.79999999999973</v>
      </c>
      <c r="C24" s="24">
        <f>Historical_Financials!C18-C25-C26</f>
        <v>740.80000000000018</v>
      </c>
      <c r="D24" s="24">
        <f>Historical_Financials!D18-D25-D26</f>
        <v>595.59999999999991</v>
      </c>
      <c r="E24" s="24">
        <v>593</v>
      </c>
      <c r="F24" s="24">
        <v>589.29999999999995</v>
      </c>
      <c r="H24" s="25">
        <f>Equity_and_Dividends!H8</f>
        <v>589.29999999999995</v>
      </c>
      <c r="I24" s="25">
        <f>Equity_and_Dividends!I8</f>
        <v>589.29999999999995</v>
      </c>
      <c r="J24" s="25">
        <f>Equity_and_Dividends!J8</f>
        <v>589.29999999999995</v>
      </c>
      <c r="K24" s="25">
        <f>Equity_and_Dividends!K8</f>
        <v>589.29999999999995</v>
      </c>
      <c r="L24" s="25">
        <f>Equity_and_Dividends!L8</f>
        <v>589.29999999999995</v>
      </c>
    </row>
    <row r="25" spans="1:12" x14ac:dyDescent="0.25">
      <c r="A25" s="7" t="s">
        <v>141</v>
      </c>
      <c r="B25" s="24">
        <v>1892.4</v>
      </c>
      <c r="C25" s="24">
        <v>1937.8</v>
      </c>
      <c r="D25" s="24">
        <v>1977.9</v>
      </c>
      <c r="E25" s="24">
        <v>2004.7</v>
      </c>
      <c r="F25" s="24">
        <v>2009.7</v>
      </c>
      <c r="H25" s="25">
        <f>Equity_and_Dividends!H15</f>
        <v>2068.0296070560003</v>
      </c>
      <c r="I25" s="25">
        <f>Equity_and_Dividends!I15</f>
        <v>2131.8639018357298</v>
      </c>
      <c r="J25" s="25">
        <f>Equity_and_Dividends!J15</f>
        <v>2199.9177753263666</v>
      </c>
      <c r="K25" s="25">
        <f>Equity_and_Dividends!K15</f>
        <v>2271.221992441333</v>
      </c>
      <c r="L25" s="25">
        <f>Equity_and_Dividends!L15</f>
        <v>2344.8837921790127</v>
      </c>
    </row>
    <row r="26" spans="1:12" x14ac:dyDescent="0.25">
      <c r="A26" s="7" t="s">
        <v>142</v>
      </c>
      <c r="B26" s="24">
        <v>422</v>
      </c>
      <c r="C26" s="24">
        <v>429.8</v>
      </c>
      <c r="D26" s="24">
        <v>431.5</v>
      </c>
      <c r="E26" s="24">
        <v>416.2</v>
      </c>
      <c r="F26" s="24">
        <v>426.6</v>
      </c>
      <c r="H26" s="25">
        <f>Equity_and_Dividends!H21</f>
        <v>435.24160537599994</v>
      </c>
      <c r="I26" s="25">
        <f>Equity_and_Dividends!I21</f>
        <v>445.30110757345619</v>
      </c>
      <c r="J26" s="25">
        <f>Equity_and_Dividends!J21</f>
        <v>458.33913591978785</v>
      </c>
      <c r="K26" s="25">
        <f>Equity_and_Dividends!K21</f>
        <v>473.67152447152881</v>
      </c>
      <c r="L26" s="25">
        <f>Equity_and_Dividends!L21</f>
        <v>490.66808899224395</v>
      </c>
    </row>
    <row r="27" spans="1:12" x14ac:dyDescent="0.25">
      <c r="A27" s="26" t="s">
        <v>143</v>
      </c>
      <c r="B27" s="27">
        <f>B24+B25+B26</f>
        <v>3047.2</v>
      </c>
      <c r="C27" s="27">
        <f>C24+C25+C26</f>
        <v>3108.4000000000005</v>
      </c>
      <c r="D27" s="27">
        <f>D24+D25+D26</f>
        <v>3005</v>
      </c>
      <c r="E27" s="27">
        <f>E24+E25+E26</f>
        <v>3013.8999999999996</v>
      </c>
      <c r="F27" s="27">
        <f>F24+F25+F26</f>
        <v>3025.6</v>
      </c>
      <c r="H27" s="27">
        <f>H24+H25+H26</f>
        <v>3092.5712124319998</v>
      </c>
      <c r="I27" s="27">
        <f>I24+I25+I26</f>
        <v>3166.4650094091862</v>
      </c>
      <c r="J27" s="27">
        <f>J24+J25+J26</f>
        <v>3247.5569112461544</v>
      </c>
      <c r="K27" s="27">
        <f>K24+K25+K26</f>
        <v>3334.1935169128619</v>
      </c>
      <c r="L27" s="27">
        <f>L24+L25+L26</f>
        <v>3424.851881171257</v>
      </c>
    </row>
    <row r="28" spans="1:12" x14ac:dyDescent="0.25">
      <c r="A28" s="49" t="s">
        <v>144</v>
      </c>
      <c r="B28" s="40">
        <f>B21+B27</f>
        <v>4927</v>
      </c>
      <c r="C28" s="40">
        <f>C21+C27</f>
        <v>4914.4000000000005</v>
      </c>
      <c r="D28" s="40">
        <f>D21+D27</f>
        <v>4701.8999999999996</v>
      </c>
      <c r="E28" s="40">
        <f>E21+E27</f>
        <v>4689.7</v>
      </c>
      <c r="F28" s="40">
        <f>F21+F27</f>
        <v>5725.7999999999993</v>
      </c>
      <c r="H28" s="40">
        <f>H21+H27</f>
        <v>5795.9934157396856</v>
      </c>
      <c r="I28" s="40">
        <f>I21+I27</f>
        <v>5816.1287008611798</v>
      </c>
      <c r="J28" s="40">
        <f>J21+J27</f>
        <v>5858.1675844096444</v>
      </c>
      <c r="K28" s="40">
        <f>K21+K27</f>
        <v>5929.5732054782111</v>
      </c>
      <c r="L28" s="40">
        <f>L21+L27</f>
        <v>6006.2981393916507</v>
      </c>
    </row>
    <row r="29" spans="1:12" x14ac:dyDescent="0.25">
      <c r="A29" s="50" t="s">
        <v>264</v>
      </c>
      <c r="B29" s="51">
        <f>B14-B21-B27</f>
        <v>0</v>
      </c>
      <c r="C29" s="51">
        <f>C14-C21-C27</f>
        <v>0</v>
      </c>
      <c r="D29" s="51">
        <f>D14-D21-D27</f>
        <v>0</v>
      </c>
      <c r="E29" s="51">
        <f>E14-E21-E27</f>
        <v>0</v>
      </c>
      <c r="F29" s="51">
        <f>F14-F21-F27</f>
        <v>0</v>
      </c>
      <c r="H29" s="51">
        <f>H14-H21-H27</f>
        <v>0</v>
      </c>
      <c r="I29" s="51">
        <f>I14-I21-I27</f>
        <v>0</v>
      </c>
      <c r="J29" s="51">
        <f>J14-J21-J27</f>
        <v>0</v>
      </c>
      <c r="K29" s="51">
        <f>K14-K21-K27</f>
        <v>0</v>
      </c>
      <c r="L29" s="51">
        <f>L14-L21-L27</f>
        <v>0</v>
      </c>
    </row>
    <row r="30" spans="1:12" x14ac:dyDescent="0.25">
      <c r="A30" s="50" t="s">
        <v>145</v>
      </c>
      <c r="B30" s="52">
        <f>B14-B28</f>
        <v>0</v>
      </c>
      <c r="C30" s="52">
        <f>C14-C28</f>
        <v>0</v>
      </c>
      <c r="D30" s="52">
        <f>D14-D28</f>
        <v>0</v>
      </c>
      <c r="E30" s="52">
        <f>E14-E28</f>
        <v>0</v>
      </c>
      <c r="F30" s="52">
        <f>F14-F28</f>
        <v>0</v>
      </c>
      <c r="H30" s="52">
        <f>H14-H28</f>
        <v>0</v>
      </c>
      <c r="I30" s="52">
        <f>I14-I28</f>
        <v>0</v>
      </c>
      <c r="J30" s="52">
        <f>J14-J28</f>
        <v>0</v>
      </c>
      <c r="K30" s="52">
        <f>K14-K28</f>
        <v>0</v>
      </c>
      <c r="L30" s="52">
        <f>L14-L28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F138-DE04-4205-8209-B5E44FC73061}">
  <dimension ref="A1:L21"/>
  <sheetViews>
    <sheetView showGridLines="0" zoomScale="130" zoomScaleNormal="130" workbookViewId="0"/>
  </sheetViews>
  <sheetFormatPr defaultRowHeight="15" x14ac:dyDescent="0.25"/>
  <sheetData>
    <row r="1" spans="1:12" ht="15.75" x14ac:dyDescent="0.25">
      <c r="A1" s="5" t="s">
        <v>6</v>
      </c>
    </row>
    <row r="2" spans="1:12" x14ac:dyDescent="0.25">
      <c r="A2" s="6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8" t="s">
        <v>59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 x14ac:dyDescent="0.25">
      <c r="A5" s="13" t="s">
        <v>107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5">
      <c r="A6" s="7" t="s">
        <v>108</v>
      </c>
      <c r="B6" s="24">
        <v>530</v>
      </c>
      <c r="C6" s="24">
        <f>B8</f>
        <v>463.7</v>
      </c>
      <c r="D6" s="24">
        <f>C8</f>
        <v>341</v>
      </c>
      <c r="E6" s="24">
        <f>D8</f>
        <v>292.2</v>
      </c>
      <c r="F6" s="24">
        <f>E8</f>
        <v>350.3</v>
      </c>
      <c r="G6" s="24">
        <v>1081.5999999999999</v>
      </c>
      <c r="H6" s="25">
        <f>F8</f>
        <v>1081.5999999999999</v>
      </c>
      <c r="I6" s="25">
        <f>H8</f>
        <v>981.59999999999991</v>
      </c>
      <c r="J6" s="25">
        <f>I8</f>
        <v>901.59999999999991</v>
      </c>
      <c r="K6" s="25">
        <f>J8</f>
        <v>841.59999999999991</v>
      </c>
      <c r="L6" s="25">
        <f>K8</f>
        <v>791.59999999999991</v>
      </c>
    </row>
    <row r="7" spans="1:12" x14ac:dyDescent="0.25">
      <c r="A7" s="7" t="s">
        <v>109</v>
      </c>
      <c r="B7" s="29">
        <f>C6-B6</f>
        <v>-66.300000000000011</v>
      </c>
      <c r="C7" s="29">
        <f>D6-C6</f>
        <v>-122.69999999999999</v>
      </c>
      <c r="D7" s="29">
        <f>E6-D6</f>
        <v>-48.800000000000011</v>
      </c>
      <c r="E7" s="29">
        <f>F6-E6</f>
        <v>58.100000000000023</v>
      </c>
      <c r="F7" s="33">
        <f>F8-F6</f>
        <v>731.3</v>
      </c>
      <c r="H7" s="32">
        <f>Assumptions!H35</f>
        <v>-100</v>
      </c>
      <c r="I7" s="32">
        <f>Assumptions!I35</f>
        <v>-80</v>
      </c>
      <c r="J7" s="32">
        <f>Assumptions!J35</f>
        <v>-60</v>
      </c>
      <c r="K7" s="32">
        <f>Assumptions!K35</f>
        <v>-50</v>
      </c>
      <c r="L7" s="32">
        <f>Assumptions!L35</f>
        <v>-50</v>
      </c>
    </row>
    <row r="8" spans="1:12" x14ac:dyDescent="0.25">
      <c r="A8" s="26" t="s">
        <v>110</v>
      </c>
      <c r="B8" s="44">
        <v>463.7</v>
      </c>
      <c r="C8" s="44">
        <v>341</v>
      </c>
      <c r="D8" s="44">
        <v>292.2</v>
      </c>
      <c r="E8" s="44">
        <v>350.3</v>
      </c>
      <c r="F8" s="44">
        <v>1081.5999999999999</v>
      </c>
      <c r="H8" s="27">
        <f>H6+H7</f>
        <v>981.59999999999991</v>
      </c>
      <c r="I8" s="27">
        <f>I6+I7</f>
        <v>901.59999999999991</v>
      </c>
      <c r="J8" s="27">
        <f>J6+J7</f>
        <v>841.59999999999991</v>
      </c>
      <c r="K8" s="27">
        <f>K6+K7</f>
        <v>791.59999999999991</v>
      </c>
      <c r="L8" s="27">
        <f>L6+L7</f>
        <v>741.59999999999991</v>
      </c>
    </row>
    <row r="10" spans="1:12" x14ac:dyDescent="0.25">
      <c r="A10" s="13" t="s">
        <v>111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5">
      <c r="A11" s="7" t="s">
        <v>112</v>
      </c>
      <c r="B11" s="24">
        <v>203.7</v>
      </c>
      <c r="C11" s="24">
        <f>B14</f>
        <v>188.9</v>
      </c>
      <c r="D11" s="24">
        <f>C14</f>
        <v>218.7</v>
      </c>
      <c r="E11" s="24">
        <f>D14</f>
        <v>189.5</v>
      </c>
      <c r="F11" s="24">
        <f>E14</f>
        <v>168.8</v>
      </c>
      <c r="G11" s="24">
        <v>244</v>
      </c>
      <c r="H11" s="25">
        <f>F14</f>
        <v>244</v>
      </c>
      <c r="I11" s="25">
        <f>H14</f>
        <v>234</v>
      </c>
      <c r="J11" s="25">
        <f>I14</f>
        <v>224</v>
      </c>
      <c r="K11" s="25">
        <f>J14</f>
        <v>214</v>
      </c>
      <c r="L11" s="25">
        <f>K14</f>
        <v>204</v>
      </c>
    </row>
    <row r="12" spans="1:12" x14ac:dyDescent="0.25">
      <c r="A12" s="7" t="s">
        <v>113</v>
      </c>
      <c r="H12" s="25">
        <f>Assumptions!H37</f>
        <v>50</v>
      </c>
      <c r="I12" s="25">
        <f>Assumptions!I37</f>
        <v>45</v>
      </c>
      <c r="J12" s="25">
        <f>Assumptions!J37</f>
        <v>45</v>
      </c>
      <c r="K12" s="25">
        <f>Assumptions!K37</f>
        <v>45</v>
      </c>
      <c r="L12" s="25">
        <f>Assumptions!L37</f>
        <v>45</v>
      </c>
    </row>
    <row r="13" spans="1:12" x14ac:dyDescent="0.25">
      <c r="A13" s="7" t="s">
        <v>114</v>
      </c>
      <c r="B13" s="29">
        <v>-30.8</v>
      </c>
      <c r="C13" s="29">
        <v>-30.6</v>
      </c>
      <c r="D13" s="29">
        <v>-42.2</v>
      </c>
      <c r="E13" s="29">
        <v>-45</v>
      </c>
      <c r="F13" s="29">
        <v>-42.6</v>
      </c>
      <c r="H13" s="32">
        <f>Assumptions!H36</f>
        <v>-60</v>
      </c>
      <c r="I13" s="32">
        <f>Assumptions!I36</f>
        <v>-55</v>
      </c>
      <c r="J13" s="32">
        <f>Assumptions!J36</f>
        <v>-55</v>
      </c>
      <c r="K13" s="32">
        <f>Assumptions!K36</f>
        <v>-55</v>
      </c>
      <c r="L13" s="32">
        <f>Assumptions!L36</f>
        <v>-55</v>
      </c>
    </row>
    <row r="14" spans="1:12" x14ac:dyDescent="0.25">
      <c r="A14" s="26" t="s">
        <v>115</v>
      </c>
      <c r="B14" s="44">
        <v>188.9</v>
      </c>
      <c r="C14" s="44">
        <v>218.7</v>
      </c>
      <c r="D14" s="44">
        <v>189.5</v>
      </c>
      <c r="E14" s="44">
        <v>168.8</v>
      </c>
      <c r="F14" s="44">
        <v>244</v>
      </c>
      <c r="H14" s="27">
        <f>H11+H12+H13</f>
        <v>234</v>
      </c>
      <c r="I14" s="27">
        <f>I11+I12+I13</f>
        <v>224</v>
      </c>
      <c r="J14" s="27">
        <f>J11+J12+J13</f>
        <v>214</v>
      </c>
      <c r="K14" s="27">
        <f>K11+K12+K13</f>
        <v>204</v>
      </c>
      <c r="L14" s="27">
        <f>L11+L12+L13</f>
        <v>194</v>
      </c>
    </row>
    <row r="16" spans="1:12" x14ac:dyDescent="0.25">
      <c r="A16" s="13" t="s">
        <v>116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x14ac:dyDescent="0.25">
      <c r="A17" s="7" t="s">
        <v>117</v>
      </c>
      <c r="B17" s="25">
        <f>B8+B14</f>
        <v>652.6</v>
      </c>
      <c r="C17" s="25">
        <f>C8+C14</f>
        <v>559.70000000000005</v>
      </c>
      <c r="D17" s="25">
        <f>D8+D14</f>
        <v>481.7</v>
      </c>
      <c r="E17" s="25">
        <f>E8+E14</f>
        <v>519.1</v>
      </c>
      <c r="F17" s="25">
        <f>F8+F14</f>
        <v>1325.6</v>
      </c>
      <c r="H17" s="25">
        <f>H8+H14</f>
        <v>1215.5999999999999</v>
      </c>
      <c r="I17" s="25">
        <f>I8+I14</f>
        <v>1125.5999999999999</v>
      </c>
      <c r="J17" s="25">
        <f>J8+J14</f>
        <v>1055.5999999999999</v>
      </c>
      <c r="K17" s="25">
        <f>K8+K14</f>
        <v>995.59999999999991</v>
      </c>
      <c r="L17" s="25">
        <f>L8+L14</f>
        <v>935.59999999999991</v>
      </c>
    </row>
    <row r="18" spans="1:12" x14ac:dyDescent="0.25">
      <c r="A18" s="9" t="s">
        <v>118</v>
      </c>
      <c r="B18" s="29">
        <v>-14.7</v>
      </c>
      <c r="C18" s="29">
        <v>-11.3</v>
      </c>
      <c r="D18" s="29">
        <v>-13.3</v>
      </c>
      <c r="E18" s="29">
        <v>-22.9</v>
      </c>
      <c r="F18" s="29">
        <v>-38.9</v>
      </c>
      <c r="G18" s="29">
        <v>-28.4</v>
      </c>
      <c r="H18" s="32">
        <f>-(((H6+H8)/2)*Assumptions!H33+((H11+H14)/2)*Assumptions!H34)</f>
        <v>-49.628999999999998</v>
      </c>
      <c r="I18" s="32">
        <f>-(((I6+I8)/2)*Assumptions!I33+((I11+I14)/2)*Assumptions!I34)</f>
        <v>-43.795799999999993</v>
      </c>
      <c r="J18" s="32">
        <f>-(((J6+J8)/2)*Assumptions!J33+((J11+J14)/2)*Assumptions!J34)</f>
        <v>-38.170999999999999</v>
      </c>
      <c r="K18" s="32">
        <f>-(((K6+K8)/2)*Assumptions!K33+((K11+K14)/2)*Assumptions!K34)</f>
        <v>-35.896000000000001</v>
      </c>
      <c r="L18" s="32">
        <f>-(((L6+L8)/2)*Assumptions!L33+((L11+L14)/2)*Assumptions!L34)</f>
        <v>-33.795999999999999</v>
      </c>
    </row>
    <row r="19" spans="1:12" x14ac:dyDescent="0.25">
      <c r="A19" s="8" t="s">
        <v>119</v>
      </c>
      <c r="H19" s="45">
        <f>-((H6+H8)/2)*Assumptions!H33</f>
        <v>-41.263999999999996</v>
      </c>
      <c r="I19" s="45">
        <f>-((I6+I8)/2)*Assumptions!I33</f>
        <v>-35.780799999999992</v>
      </c>
      <c r="J19" s="45">
        <f>-((J6+J8)/2)*Assumptions!J33</f>
        <v>-30.506</v>
      </c>
      <c r="K19" s="45">
        <f>-((K6+K8)/2)*Assumptions!K33</f>
        <v>-28.581</v>
      </c>
      <c r="L19" s="45">
        <f>-((L6+L8)/2)*Assumptions!L33</f>
        <v>-26.831</v>
      </c>
    </row>
    <row r="20" spans="1:12" x14ac:dyDescent="0.25">
      <c r="A20" s="8" t="s">
        <v>120</v>
      </c>
      <c r="H20" s="45">
        <f>-((H11+H14)/2)*Assumptions!H34</f>
        <v>-8.3650000000000002</v>
      </c>
      <c r="I20" s="45">
        <f>-((I11+I14)/2)*Assumptions!I34</f>
        <v>-8.0150000000000006</v>
      </c>
      <c r="J20" s="45">
        <f>-((J11+J14)/2)*Assumptions!J34</f>
        <v>-7.6650000000000009</v>
      </c>
      <c r="K20" s="45">
        <f>-((K11+K14)/2)*Assumptions!K34</f>
        <v>-7.3150000000000004</v>
      </c>
      <c r="L20" s="45">
        <f>-((L11+L14)/2)*Assumptions!L34</f>
        <v>-6.9650000000000007</v>
      </c>
    </row>
    <row r="21" spans="1:12" x14ac:dyDescent="0.25">
      <c r="A21" s="10" t="s">
        <v>121</v>
      </c>
      <c r="B21" s="47">
        <f>B17-Balance_Sheet!B6</f>
        <v>-90.199999999999932</v>
      </c>
      <c r="C21" s="47">
        <f>C17-Balance_Sheet!C6</f>
        <v>-359.4</v>
      </c>
      <c r="D21" s="47">
        <f>D17-Balance_Sheet!D6</f>
        <v>-485.3</v>
      </c>
      <c r="E21" s="47">
        <f>E17-Balance_Sheet!E6</f>
        <v>-337.79999999999995</v>
      </c>
      <c r="F21" s="47">
        <f>F17-Balance_Sheet!F6</f>
        <v>433.19999999999993</v>
      </c>
      <c r="H21" s="47">
        <f>H17-Balance_Sheet!H6</f>
        <v>277.87153247666538</v>
      </c>
      <c r="I21" s="47">
        <f>I17-Balance_Sheet!I6</f>
        <v>250.82517595035279</v>
      </c>
      <c r="J21" s="47">
        <f>J17-Balance_Sheet!J6</f>
        <v>222.90649276689032</v>
      </c>
      <c r="K21" s="47">
        <f>K17-Balance_Sheet!K6</f>
        <v>217.14300292604753</v>
      </c>
      <c r="L21" s="47">
        <f>L17-Balance_Sheet!L6</f>
        <v>218.15628094211411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C54D-DB7E-46E0-9601-590F254B2652}">
  <dimension ref="A1:L23"/>
  <sheetViews>
    <sheetView showGridLines="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x14ac:dyDescent="0.25">
      <c r="A1" s="63" t="s">
        <v>199</v>
      </c>
    </row>
    <row r="3" spans="1:12" x14ac:dyDescent="0.25">
      <c r="A3" s="64" t="s">
        <v>200</v>
      </c>
      <c r="B3" s="61" t="s">
        <v>9</v>
      </c>
      <c r="C3" s="61" t="s">
        <v>10</v>
      </c>
      <c r="D3" s="61" t="s">
        <v>11</v>
      </c>
      <c r="E3" s="61" t="s">
        <v>12</v>
      </c>
      <c r="F3" s="61" t="s">
        <v>13</v>
      </c>
      <c r="G3" s="61" t="s">
        <v>201</v>
      </c>
      <c r="H3" s="11" t="s">
        <v>15</v>
      </c>
      <c r="I3" s="11" t="s">
        <v>16</v>
      </c>
      <c r="J3" s="11" t="s">
        <v>17</v>
      </c>
      <c r="K3" s="11" t="s">
        <v>18</v>
      </c>
      <c r="L3" s="11" t="s">
        <v>19</v>
      </c>
    </row>
    <row r="4" spans="1:12" x14ac:dyDescent="0.25">
      <c r="A4" s="13" t="s">
        <v>202</v>
      </c>
    </row>
    <row r="5" spans="1:12" x14ac:dyDescent="0.25">
      <c r="A5" s="7" t="s">
        <v>203</v>
      </c>
      <c r="B5" s="24">
        <v>693.4</v>
      </c>
      <c r="C5" s="24">
        <v>694.4</v>
      </c>
      <c r="D5" s="24">
        <v>694.4</v>
      </c>
      <c r="E5" s="24">
        <v>694.4</v>
      </c>
      <c r="F5" s="24">
        <v>694.4</v>
      </c>
      <c r="H5" s="25">
        <f>F5</f>
        <v>694.4</v>
      </c>
      <c r="I5" s="25">
        <f t="shared" ref="I5:L7" si="0">H5</f>
        <v>694.4</v>
      </c>
      <c r="J5" s="25">
        <f t="shared" si="0"/>
        <v>694.4</v>
      </c>
      <c r="K5" s="25">
        <f t="shared" si="0"/>
        <v>694.4</v>
      </c>
      <c r="L5" s="25">
        <f t="shared" si="0"/>
        <v>694.4</v>
      </c>
    </row>
    <row r="6" spans="1:12" x14ac:dyDescent="0.25">
      <c r="A6" s="7" t="s">
        <v>204</v>
      </c>
      <c r="B6" s="65">
        <v>-0.2</v>
      </c>
      <c r="C6" s="65">
        <v>-0.7</v>
      </c>
      <c r="D6" s="65">
        <v>-1.8</v>
      </c>
      <c r="E6" s="65">
        <v>-2</v>
      </c>
      <c r="F6" s="65">
        <v>-1.6</v>
      </c>
      <c r="H6" s="66">
        <f>F6</f>
        <v>-1.6</v>
      </c>
      <c r="I6" s="66">
        <f t="shared" si="0"/>
        <v>-1.6</v>
      </c>
      <c r="J6" s="66">
        <f t="shared" si="0"/>
        <v>-1.6</v>
      </c>
      <c r="K6" s="66">
        <f t="shared" si="0"/>
        <v>-1.6</v>
      </c>
      <c r="L6" s="66">
        <f t="shared" si="0"/>
        <v>-1.6</v>
      </c>
    </row>
    <row r="7" spans="1:12" x14ac:dyDescent="0.25">
      <c r="A7" s="7" t="s">
        <v>205</v>
      </c>
      <c r="B7" s="65">
        <v>39.6</v>
      </c>
      <c r="C7" s="65">
        <v>47.1</v>
      </c>
      <c r="D7" s="65">
        <v>-97</v>
      </c>
      <c r="E7" s="65">
        <v>-99.4</v>
      </c>
      <c r="F7" s="65">
        <v>-103.5</v>
      </c>
      <c r="H7" s="66">
        <f>F7</f>
        <v>-103.5</v>
      </c>
      <c r="I7" s="66">
        <f t="shared" si="0"/>
        <v>-103.5</v>
      </c>
      <c r="J7" s="66">
        <f t="shared" si="0"/>
        <v>-103.5</v>
      </c>
      <c r="K7" s="66">
        <f t="shared" si="0"/>
        <v>-103.5</v>
      </c>
      <c r="L7" s="66">
        <f t="shared" si="0"/>
        <v>-103.5</v>
      </c>
    </row>
    <row r="8" spans="1:12" x14ac:dyDescent="0.25">
      <c r="A8" s="26" t="s">
        <v>140</v>
      </c>
      <c r="B8" s="27">
        <f>B5+B6+B7</f>
        <v>732.8</v>
      </c>
      <c r="C8" s="27">
        <f>C5+C6+C7</f>
        <v>740.8</v>
      </c>
      <c r="D8" s="27">
        <f>D5+D6+D7</f>
        <v>595.6</v>
      </c>
      <c r="E8" s="27">
        <f>E5+E6+E7</f>
        <v>593</v>
      </c>
      <c r="F8" s="27">
        <f>F5+F6+F7</f>
        <v>589.29999999999995</v>
      </c>
      <c r="H8" s="27">
        <f>H5+H6+H7</f>
        <v>589.29999999999995</v>
      </c>
      <c r="I8" s="27">
        <f>I5+I6+I7</f>
        <v>589.29999999999995</v>
      </c>
      <c r="J8" s="27">
        <f>J5+J6+J7</f>
        <v>589.29999999999995</v>
      </c>
      <c r="K8" s="27">
        <f>K5+K6+K7</f>
        <v>589.29999999999995</v>
      </c>
      <c r="L8" s="27">
        <f>L5+L6+L7</f>
        <v>589.29999999999995</v>
      </c>
    </row>
    <row r="10" spans="1:12" x14ac:dyDescent="0.25">
      <c r="A10" s="13" t="s">
        <v>206</v>
      </c>
    </row>
    <row r="11" spans="1:12" x14ac:dyDescent="0.25">
      <c r="A11" s="7" t="s">
        <v>207</v>
      </c>
      <c r="B11" s="24">
        <v>1831.6</v>
      </c>
      <c r="C11" s="24">
        <v>1892.4</v>
      </c>
      <c r="D11" s="24">
        <v>1937.8</v>
      </c>
      <c r="E11" s="24">
        <v>1977.9</v>
      </c>
      <c r="F11" s="24">
        <v>2004.7</v>
      </c>
      <c r="H11" s="25">
        <f>F15</f>
        <v>2009.7</v>
      </c>
      <c r="I11" s="25">
        <f>H15</f>
        <v>2068.0296070560003</v>
      </c>
      <c r="J11" s="25">
        <f>I15</f>
        <v>2131.8639018357298</v>
      </c>
      <c r="K11" s="25">
        <f>J15</f>
        <v>2199.9177753263666</v>
      </c>
      <c r="L11" s="25">
        <f>K15</f>
        <v>2271.221992441333</v>
      </c>
    </row>
    <row r="12" spans="1:12" x14ac:dyDescent="0.25">
      <c r="A12" s="84" t="s">
        <v>284</v>
      </c>
      <c r="B12" s="24">
        <v>60.8</v>
      </c>
      <c r="C12" s="24">
        <v>123</v>
      </c>
      <c r="D12" s="24">
        <v>173.1</v>
      </c>
      <c r="E12" s="24">
        <v>180.5</v>
      </c>
      <c r="F12" s="24">
        <v>210.5</v>
      </c>
      <c r="H12" s="25">
        <f>Income_Statement!H20</f>
        <v>233.318428224</v>
      </c>
      <c r="I12" s="25">
        <f>Income_Statement!I20</f>
        <v>255.33717911891875</v>
      </c>
      <c r="J12" s="25">
        <f>Income_Statement!J20</f>
        <v>272.21549396254591</v>
      </c>
      <c r="K12" s="25">
        <f>Income_Statement!K20</f>
        <v>285.21686845986551</v>
      </c>
      <c r="L12" s="25">
        <f>Income_Statement!L20</f>
        <v>294.64719895071897</v>
      </c>
    </row>
    <row r="13" spans="1:12" x14ac:dyDescent="0.25">
      <c r="A13" s="84" t="s">
        <v>285</v>
      </c>
      <c r="B13" s="65">
        <v>0</v>
      </c>
      <c r="C13" s="65">
        <v>-76.5</v>
      </c>
      <c r="D13" s="65">
        <v>-137.80000000000001</v>
      </c>
      <c r="E13" s="65">
        <v>-154.19999999999999</v>
      </c>
      <c r="F13" s="65">
        <v>-157.69999999999999</v>
      </c>
      <c r="H13" s="66">
        <f>Income_Statement!H26</f>
        <v>-174.98882116800002</v>
      </c>
      <c r="I13" s="66">
        <f>Income_Statement!I26</f>
        <v>-191.50288433918905</v>
      </c>
      <c r="J13" s="66">
        <f>Income_Statement!J26</f>
        <v>-204.16162047190943</v>
      </c>
      <c r="K13" s="66">
        <f>Income_Statement!K26</f>
        <v>-213.91265134489913</v>
      </c>
      <c r="L13" s="66">
        <f>Income_Statement!L26</f>
        <v>-220.98539921303922</v>
      </c>
    </row>
    <row r="14" spans="1:12" x14ac:dyDescent="0.25">
      <c r="A14" s="7" t="s">
        <v>213</v>
      </c>
      <c r="B14" s="65">
        <v>0</v>
      </c>
      <c r="C14" s="65">
        <v>-1.1000000000000001</v>
      </c>
      <c r="D14" s="65">
        <v>4.8</v>
      </c>
      <c r="E14" s="65">
        <v>0.5</v>
      </c>
      <c r="F14" s="65">
        <v>-47.8</v>
      </c>
      <c r="H14" s="65">
        <v>0</v>
      </c>
      <c r="I14" s="65">
        <v>0</v>
      </c>
      <c r="J14" s="65">
        <v>0</v>
      </c>
      <c r="K14" s="65">
        <v>0</v>
      </c>
      <c r="L14" s="65">
        <v>0</v>
      </c>
    </row>
    <row r="15" spans="1:12" x14ac:dyDescent="0.25">
      <c r="A15" s="26" t="s">
        <v>208</v>
      </c>
      <c r="B15" s="27">
        <f>B11+B12+B13+B14</f>
        <v>1892.3999999999999</v>
      </c>
      <c r="C15" s="27">
        <f>C11+C12+C13+C14</f>
        <v>1937.8000000000002</v>
      </c>
      <c r="D15" s="27">
        <f>D11+D12+D13+D14</f>
        <v>1977.9</v>
      </c>
      <c r="E15" s="27">
        <f>E11+E12+E13+E14</f>
        <v>2004.7</v>
      </c>
      <c r="F15" s="27">
        <f>F11+F12+F13+F14</f>
        <v>2009.7</v>
      </c>
      <c r="H15" s="27">
        <f>H11+H12+H13+H14</f>
        <v>2068.0296070560003</v>
      </c>
      <c r="I15" s="27">
        <f>I11+I12+I13+I14</f>
        <v>2131.8639018357298</v>
      </c>
      <c r="J15" s="27">
        <f>J11+J12+J13+J14</f>
        <v>2199.9177753263666</v>
      </c>
      <c r="K15" s="27">
        <f>K11+K12+K13+K14</f>
        <v>2271.221992441333</v>
      </c>
      <c r="L15" s="27">
        <f>L11+L12+L13+L14</f>
        <v>2344.8837921790127</v>
      </c>
    </row>
    <row r="17" spans="1:12" x14ac:dyDescent="0.25">
      <c r="A17" s="13" t="s">
        <v>209</v>
      </c>
    </row>
    <row r="18" spans="1:12" x14ac:dyDescent="0.25">
      <c r="A18" s="7" t="s">
        <v>210</v>
      </c>
      <c r="B18" s="24">
        <v>391.1</v>
      </c>
      <c r="C18" s="24">
        <f>B21</f>
        <v>392.2</v>
      </c>
      <c r="D18" s="24">
        <f>C21</f>
        <v>391.2</v>
      </c>
      <c r="E18" s="24">
        <f>D21</f>
        <v>403.09999999999997</v>
      </c>
      <c r="F18" s="24">
        <v>416.2</v>
      </c>
      <c r="H18" s="25">
        <f>F21</f>
        <v>428.79999999999995</v>
      </c>
      <c r="I18" s="25">
        <f>H21</f>
        <v>435.24160537599994</v>
      </c>
      <c r="J18" s="25">
        <f>I21</f>
        <v>445.30110757345619</v>
      </c>
      <c r="K18" s="25">
        <f>J21</f>
        <v>458.33913591978785</v>
      </c>
      <c r="L18" s="25">
        <f>K21</f>
        <v>473.67152447152881</v>
      </c>
    </row>
    <row r="19" spans="1:12" x14ac:dyDescent="0.25">
      <c r="A19" s="84" t="s">
        <v>286</v>
      </c>
      <c r="B19" s="24">
        <v>30.9</v>
      </c>
      <c r="C19" s="24">
        <v>29.9</v>
      </c>
      <c r="D19" s="24">
        <v>45.4</v>
      </c>
      <c r="E19" s="24">
        <v>44.5</v>
      </c>
      <c r="F19" s="24">
        <v>45.2</v>
      </c>
      <c r="H19" s="25">
        <f>-Income_Statement!H19</f>
        <v>44.441605375999998</v>
      </c>
      <c r="I19" s="25">
        <f>-Income_Statement!I19</f>
        <v>45.059502197456247</v>
      </c>
      <c r="J19" s="25">
        <f>-Income_Statement!J19</f>
        <v>48.038028346331636</v>
      </c>
      <c r="K19" s="25">
        <f>-Income_Statement!K19</f>
        <v>50.332388551740969</v>
      </c>
      <c r="L19" s="25">
        <f>-Income_Statement!L19</f>
        <v>51.996564520715118</v>
      </c>
    </row>
    <row r="20" spans="1:12" x14ac:dyDescent="0.25">
      <c r="A20" s="84" t="s">
        <v>287</v>
      </c>
      <c r="B20" s="65">
        <v>-29.8</v>
      </c>
      <c r="C20" s="65">
        <v>-30.9</v>
      </c>
      <c r="D20" s="65">
        <v>-33.5</v>
      </c>
      <c r="E20" s="65">
        <v>-57.7</v>
      </c>
      <c r="F20" s="65">
        <v>-32.6</v>
      </c>
      <c r="H20" s="66">
        <f>Assumptions!H41</f>
        <v>-38</v>
      </c>
      <c r="I20" s="66">
        <f>Assumptions!I41</f>
        <v>-35</v>
      </c>
      <c r="J20" s="66">
        <f>Assumptions!J41</f>
        <v>-35</v>
      </c>
      <c r="K20" s="66">
        <f>Assumptions!K41</f>
        <v>-35</v>
      </c>
      <c r="L20" s="66">
        <f>Assumptions!L41</f>
        <v>-35</v>
      </c>
    </row>
    <row r="21" spans="1:12" x14ac:dyDescent="0.25">
      <c r="A21" s="26" t="s">
        <v>211</v>
      </c>
      <c r="B21" s="27">
        <f>B18+B19+B20</f>
        <v>392.2</v>
      </c>
      <c r="C21" s="27">
        <f>C18+C19+C20</f>
        <v>391.2</v>
      </c>
      <c r="D21" s="27">
        <f>D18+D19+D20</f>
        <v>403.09999999999997</v>
      </c>
      <c r="E21" s="27">
        <f>E18+E19+E20</f>
        <v>389.9</v>
      </c>
      <c r="F21" s="27">
        <f>F18+F19+F20</f>
        <v>428.79999999999995</v>
      </c>
      <c r="H21" s="27">
        <f>H18+H19+H20</f>
        <v>435.24160537599994</v>
      </c>
      <c r="I21" s="27">
        <f>I18+I19+I20</f>
        <v>445.30110757345619</v>
      </c>
      <c r="J21" s="27">
        <f>J18+J19+J20</f>
        <v>458.33913591978785</v>
      </c>
      <c r="K21" s="27">
        <f>K18+K19+K20</f>
        <v>473.67152447152881</v>
      </c>
      <c r="L21" s="27">
        <f>L18+L19+L20</f>
        <v>490.66808899224395</v>
      </c>
    </row>
    <row r="23" spans="1:12" x14ac:dyDescent="0.25">
      <c r="A23" s="10" t="s">
        <v>212</v>
      </c>
      <c r="B23" s="46">
        <f>B8+B15+B21</f>
        <v>3017.3999999999996</v>
      </c>
      <c r="C23" s="46">
        <f>C8+C15+C21</f>
        <v>3069.8</v>
      </c>
      <c r="D23" s="46">
        <f>D8+D15+D21</f>
        <v>2976.6</v>
      </c>
      <c r="E23" s="46">
        <f>E8+E15+E21</f>
        <v>2987.6</v>
      </c>
      <c r="F23" s="46">
        <f>F8+F15+F21</f>
        <v>3027.8</v>
      </c>
      <c r="H23" s="46">
        <f>H8+H15+H21</f>
        <v>3092.5712124319998</v>
      </c>
      <c r="I23" s="46">
        <f>I8+I15+I21</f>
        <v>3166.4650094091862</v>
      </c>
      <c r="J23" s="46">
        <f>J8+J15+J21</f>
        <v>3247.5569112461544</v>
      </c>
      <c r="K23" s="46">
        <f>K8+K15+K21</f>
        <v>3334.1935169128619</v>
      </c>
      <c r="L23" s="46">
        <f>L8+L15+L21</f>
        <v>3424.851881171257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B50D-D027-4833-9D0D-E6D79737E84B}">
  <dimension ref="A1:L13"/>
  <sheetViews>
    <sheetView showGridLines="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x14ac:dyDescent="0.25">
      <c r="A1" s="63" t="s">
        <v>214</v>
      </c>
    </row>
    <row r="3" spans="1:12" x14ac:dyDescent="0.25">
      <c r="A3" s="64" t="s">
        <v>59</v>
      </c>
      <c r="B3" s="61" t="s">
        <v>9</v>
      </c>
      <c r="C3" s="61" t="s">
        <v>10</v>
      </c>
      <c r="D3" s="61" t="s">
        <v>11</v>
      </c>
      <c r="E3" s="61" t="s">
        <v>12</v>
      </c>
      <c r="F3" s="61" t="s">
        <v>13</v>
      </c>
      <c r="G3" s="61" t="s">
        <v>201</v>
      </c>
      <c r="H3" s="11" t="s">
        <v>15</v>
      </c>
      <c r="I3" s="11" t="s">
        <v>16</v>
      </c>
      <c r="J3" s="11" t="s">
        <v>17</v>
      </c>
      <c r="K3" s="11" t="s">
        <v>18</v>
      </c>
      <c r="L3" s="11" t="s">
        <v>19</v>
      </c>
    </row>
    <row r="4" spans="1:12" x14ac:dyDescent="0.25">
      <c r="A4" s="13" t="s">
        <v>215</v>
      </c>
    </row>
    <row r="5" spans="1:12" x14ac:dyDescent="0.25">
      <c r="A5" s="7" t="s">
        <v>216</v>
      </c>
      <c r="B5" s="24">
        <v>663.3</v>
      </c>
      <c r="C5" s="24">
        <v>659.4</v>
      </c>
      <c r="D5" s="24">
        <v>646.9</v>
      </c>
      <c r="E5" s="24">
        <v>614.5</v>
      </c>
      <c r="F5" s="24">
        <v>616.9</v>
      </c>
      <c r="G5" s="24">
        <v>1104</v>
      </c>
      <c r="H5" s="25">
        <f>F7</f>
        <v>1104</v>
      </c>
      <c r="I5" s="25">
        <f>H7</f>
        <v>1104</v>
      </c>
      <c r="J5" s="25">
        <f>I7</f>
        <v>1104</v>
      </c>
      <c r="K5" s="25">
        <f>J7</f>
        <v>1104</v>
      </c>
      <c r="L5" s="25">
        <f>K7</f>
        <v>1104</v>
      </c>
    </row>
    <row r="6" spans="1:12" x14ac:dyDescent="0.25">
      <c r="A6" s="7" t="s">
        <v>221</v>
      </c>
      <c r="B6" s="65">
        <v>0</v>
      </c>
      <c r="C6" s="65">
        <v>0</v>
      </c>
      <c r="D6" s="65">
        <v>0</v>
      </c>
      <c r="E6" s="24">
        <v>2.4</v>
      </c>
      <c r="F6" s="65">
        <v>534.29999999999995</v>
      </c>
      <c r="G6" s="65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</row>
    <row r="7" spans="1:12" x14ac:dyDescent="0.25">
      <c r="A7" s="26" t="s">
        <v>217</v>
      </c>
      <c r="B7" s="44">
        <v>659.4</v>
      </c>
      <c r="C7" s="44">
        <v>646.9</v>
      </c>
      <c r="D7" s="44">
        <v>614.5</v>
      </c>
      <c r="E7" s="44">
        <v>616.9</v>
      </c>
      <c r="F7" s="44">
        <v>1104</v>
      </c>
      <c r="G7" s="44">
        <v>1077.4000000000001</v>
      </c>
      <c r="H7" s="27">
        <f>H5+H6</f>
        <v>1104</v>
      </c>
      <c r="I7" s="27">
        <f>I5+I6</f>
        <v>1104</v>
      </c>
      <c r="J7" s="27">
        <f>J5+J6</f>
        <v>1104</v>
      </c>
      <c r="K7" s="27">
        <f>K5+K6</f>
        <v>1104</v>
      </c>
      <c r="L7" s="27">
        <f>L5+L6</f>
        <v>1104</v>
      </c>
    </row>
    <row r="9" spans="1:12" x14ac:dyDescent="0.25">
      <c r="A9" s="13" t="s">
        <v>218</v>
      </c>
    </row>
    <row r="10" spans="1:12" x14ac:dyDescent="0.25">
      <c r="A10" s="7" t="s">
        <v>219</v>
      </c>
      <c r="B10" s="24">
        <v>210</v>
      </c>
      <c r="C10" s="24">
        <v>210.6</v>
      </c>
      <c r="D10" s="24">
        <v>220</v>
      </c>
      <c r="E10" s="24">
        <v>201.8</v>
      </c>
      <c r="F10" s="24">
        <v>205.7</v>
      </c>
      <c r="G10" s="24">
        <v>354.2</v>
      </c>
      <c r="H10" s="25">
        <f>F13</f>
        <v>354.2</v>
      </c>
      <c r="I10" s="25">
        <f>H13</f>
        <v>359.2</v>
      </c>
      <c r="J10" s="25">
        <f>I13</f>
        <v>364.2</v>
      </c>
      <c r="K10" s="25">
        <f>J13</f>
        <v>369.2</v>
      </c>
      <c r="L10" s="25">
        <f>K13</f>
        <v>374.2</v>
      </c>
    </row>
    <row r="11" spans="1:12" x14ac:dyDescent="0.25">
      <c r="A11" s="7" t="s">
        <v>222</v>
      </c>
      <c r="B11" s="65">
        <v>1.3</v>
      </c>
      <c r="C11" s="65">
        <v>1.9</v>
      </c>
      <c r="D11" s="65">
        <v>2.2000000000000002</v>
      </c>
      <c r="E11" s="65">
        <v>11</v>
      </c>
      <c r="F11" s="65">
        <v>152.5</v>
      </c>
      <c r="G11" s="65">
        <v>40</v>
      </c>
      <c r="H11" s="67">
        <v>25</v>
      </c>
      <c r="I11" s="67">
        <v>25</v>
      </c>
      <c r="J11" s="67">
        <v>25</v>
      </c>
      <c r="K11" s="67">
        <v>25</v>
      </c>
      <c r="L11" s="67">
        <v>25</v>
      </c>
    </row>
    <row r="12" spans="1:12" x14ac:dyDescent="0.25">
      <c r="A12" s="7" t="s">
        <v>223</v>
      </c>
      <c r="B12" s="65">
        <v>-0.7</v>
      </c>
      <c r="C12" s="65">
        <v>-12.4</v>
      </c>
      <c r="D12" s="65">
        <v>-20.399999999999999</v>
      </c>
      <c r="E12" s="65">
        <v>-7</v>
      </c>
      <c r="F12" s="65">
        <v>-8.3000000000000007</v>
      </c>
      <c r="G12" s="65">
        <v>-3.5</v>
      </c>
      <c r="H12" s="67">
        <v>-20</v>
      </c>
      <c r="I12" s="67">
        <v>-20</v>
      </c>
      <c r="J12" s="67">
        <v>-20</v>
      </c>
      <c r="K12" s="67">
        <v>-20</v>
      </c>
      <c r="L12" s="67">
        <v>-20</v>
      </c>
    </row>
    <row r="13" spans="1:12" x14ac:dyDescent="0.25">
      <c r="A13" s="26" t="s">
        <v>220</v>
      </c>
      <c r="B13" s="44">
        <v>210.6</v>
      </c>
      <c r="C13" s="44">
        <v>220</v>
      </c>
      <c r="D13" s="44">
        <v>201.8</v>
      </c>
      <c r="E13" s="44">
        <v>205.7</v>
      </c>
      <c r="F13" s="44">
        <v>354.2</v>
      </c>
      <c r="G13" s="44">
        <v>390.7</v>
      </c>
      <c r="H13" s="27">
        <f>H10+H11+H12</f>
        <v>359.2</v>
      </c>
      <c r="I13" s="27">
        <f>I10+I11+I12</f>
        <v>364.2</v>
      </c>
      <c r="J13" s="27">
        <f>J10+J11+J12</f>
        <v>369.2</v>
      </c>
      <c r="K13" s="27">
        <f>K10+K11+K12</f>
        <v>374.2</v>
      </c>
      <c r="L13" s="27">
        <f>L10+L11+L12</f>
        <v>379.2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01E3-64A5-4A2B-AC14-68BFA446CB11}">
  <dimension ref="A1:L12"/>
  <sheetViews>
    <sheetView showGridLines="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ht="15.75" x14ac:dyDescent="0.25">
      <c r="A1" s="5" t="s">
        <v>6</v>
      </c>
    </row>
    <row r="2" spans="1:12" x14ac:dyDescent="0.25">
      <c r="A2" s="6" t="s">
        <v>146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8" t="s">
        <v>59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 x14ac:dyDescent="0.25">
      <c r="A5" s="13" t="s">
        <v>147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5">
      <c r="A6" s="7" t="s">
        <v>125</v>
      </c>
      <c r="B6" s="24">
        <v>589</v>
      </c>
      <c r="C6" s="24">
        <v>569.79999999999995</v>
      </c>
      <c r="D6" s="24">
        <v>476.7</v>
      </c>
      <c r="E6" s="24">
        <v>532.70000000000005</v>
      </c>
      <c r="F6" s="24">
        <v>725.7</v>
      </c>
      <c r="H6" s="25">
        <f>Income_Statement!H5*Assumptions!H28/365</f>
        <v>720.60281095890412</v>
      </c>
      <c r="I6" s="25">
        <f>Income_Statement!I5*Assumptions!I28/365</f>
        <v>730.90763556164393</v>
      </c>
      <c r="J6" s="25">
        <f>Income_Statement!J5*Assumptions!J28/365</f>
        <v>723.74129007534248</v>
      </c>
      <c r="K6" s="25">
        <f>Income_Statement!K5*Assumptions!K28/365</f>
        <v>744.57792195287686</v>
      </c>
      <c r="L6" s="25">
        <f>Income_Statement!L5*Assumptions!L28/365</f>
        <v>766.0184683921243</v>
      </c>
    </row>
    <row r="7" spans="1:12" x14ac:dyDescent="0.25">
      <c r="A7" s="7" t="s">
        <v>126</v>
      </c>
      <c r="B7" s="24">
        <v>127.9</v>
      </c>
      <c r="C7" s="24">
        <v>116.9</v>
      </c>
      <c r="D7" s="24">
        <v>120.1</v>
      </c>
      <c r="E7" s="24">
        <v>141.69999999999999</v>
      </c>
      <c r="F7" s="24">
        <v>158</v>
      </c>
      <c r="H7" s="25">
        <f>Income_Statement!H5*Assumptions!H29/365</f>
        <v>176.75163287671236</v>
      </c>
      <c r="I7" s="25">
        <f>Income_Statement!I5*Assumptions!I29/365</f>
        <v>168.67099282191782</v>
      </c>
      <c r="J7" s="25">
        <f>Income_Statement!J5*Assumptions!J29/365</f>
        <v>173.69790961808218</v>
      </c>
      <c r="K7" s="25">
        <f>Income_Statement!K5*Assumptions!K29/365</f>
        <v>178.69870126869043</v>
      </c>
      <c r="L7" s="25">
        <f>Income_Statement!L5*Assumptions!L29/365</f>
        <v>183.84443241410983</v>
      </c>
    </row>
    <row r="8" spans="1:12" x14ac:dyDescent="0.25">
      <c r="A8" s="7" t="s">
        <v>136</v>
      </c>
      <c r="B8" s="24">
        <v>675</v>
      </c>
      <c r="C8" s="24">
        <v>775.6</v>
      </c>
      <c r="D8" s="24">
        <v>832.2</v>
      </c>
      <c r="E8" s="24">
        <v>807.4</v>
      </c>
      <c r="F8" s="24">
        <v>1001.1</v>
      </c>
      <c r="H8" s="25">
        <f>Income_Statement!H5*Assumptions!H30/365</f>
        <v>1033.3172383561646</v>
      </c>
      <c r="I8" s="25">
        <f>Income_Statement!I5*Assumptions!I30/365</f>
        <v>1054.1937051369864</v>
      </c>
      <c r="J8" s="25">
        <f>Income_Statement!J5*Assumptions!J30/365</f>
        <v>1071.1371093115067</v>
      </c>
      <c r="K8" s="25">
        <f>Income_Statement!K5*Assumptions!K30/365</f>
        <v>1101.9753244902577</v>
      </c>
      <c r="L8" s="25">
        <f>Income_Statement!L5*Assumptions!L30/365</f>
        <v>1133.707333220344</v>
      </c>
    </row>
    <row r="9" spans="1:12" x14ac:dyDescent="0.25">
      <c r="A9" s="26" t="s">
        <v>148</v>
      </c>
      <c r="B9" s="27">
        <f>B6+B7-B8</f>
        <v>41.899999999999977</v>
      </c>
      <c r="C9" s="27">
        <f>C6+C7-C8</f>
        <v>-88.900000000000091</v>
      </c>
      <c r="D9" s="27">
        <f>D6+D7-D8</f>
        <v>-235.40000000000009</v>
      </c>
      <c r="E9" s="27">
        <f>E6+E7-E8</f>
        <v>-132.99999999999989</v>
      </c>
      <c r="F9" s="27">
        <f>F6+F7-F8</f>
        <v>-117.39999999999998</v>
      </c>
      <c r="H9" s="27">
        <f>H6+H7-H8</f>
        <v>-135.96279452054807</v>
      </c>
      <c r="I9" s="27">
        <f>I6+I7-I8</f>
        <v>-154.61507675342466</v>
      </c>
      <c r="J9" s="27">
        <f>J6+J7-J8</f>
        <v>-173.69790961808212</v>
      </c>
      <c r="K9" s="27">
        <f>K6+K7-K8</f>
        <v>-178.69870126869034</v>
      </c>
      <c r="L9" s="27">
        <f>L6+L7-L8</f>
        <v>-183.84443241410986</v>
      </c>
    </row>
    <row r="10" spans="1:12" x14ac:dyDescent="0.25">
      <c r="A10" s="7" t="s">
        <v>149</v>
      </c>
      <c r="C10" s="32">
        <f>-(C9-B9)</f>
        <v>130.80000000000007</v>
      </c>
      <c r="D10" s="32">
        <f>-(D9-C9)</f>
        <v>146.5</v>
      </c>
      <c r="E10" s="32">
        <f>-(E9-D9)</f>
        <v>-102.4000000000002</v>
      </c>
      <c r="F10" s="32">
        <f>-(F9-E9)</f>
        <v>-15.599999999999909</v>
      </c>
      <c r="H10" s="32">
        <f>-(H9-F9)</f>
        <v>18.562794520548096</v>
      </c>
      <c r="I10" s="32">
        <f>-(I9-H9)</f>
        <v>18.652282232876587</v>
      </c>
      <c r="J10" s="32">
        <f>-(J9-I9)</f>
        <v>19.082832864657462</v>
      </c>
      <c r="K10" s="32">
        <f>-(K9-J9)</f>
        <v>5.0007916506082211</v>
      </c>
      <c r="L10" s="32">
        <f>-(L9-K9)</f>
        <v>5.1457311454195178</v>
      </c>
    </row>
    <row r="12" spans="1:12" x14ac:dyDescent="0.25">
      <c r="A12" s="8" t="s">
        <v>150</v>
      </c>
      <c r="B12" s="28">
        <f>B9/Income_Statement!B5</f>
        <v>1.2921729476346136E-2</v>
      </c>
      <c r="C12" s="28">
        <f>C9/Income_Statement!C5</f>
        <v>-2.5379696243005619E-2</v>
      </c>
      <c r="D12" s="28">
        <f>D9/Income_Statement!D5</f>
        <v>-6.2261955141768965E-2</v>
      </c>
      <c r="E12" s="28">
        <f>E9/Income_Statement!E5</f>
        <v>-3.4275700332448492E-2</v>
      </c>
      <c r="F12" s="28">
        <f>F9/Income_Statement!F5</f>
        <v>-2.6225846085111131E-2</v>
      </c>
      <c r="H12" s="28">
        <f>H9/Income_Statement!H5</f>
        <v>-2.7397260273972626E-2</v>
      </c>
      <c r="I12" s="28">
        <f>I9/Income_Statement!I5</f>
        <v>-3.0136986301369861E-2</v>
      </c>
      <c r="J12" s="28">
        <f>J9/Income_Statement!J5</f>
        <v>-3.2876712328767113E-2</v>
      </c>
      <c r="K12" s="28">
        <f>K9/Income_Statement!K5</f>
        <v>-3.2876712328767106E-2</v>
      </c>
      <c r="L12" s="28">
        <f>L9/Income_Statement!L5</f>
        <v>-3.2876712328767127E-2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C668-E794-4DF5-865E-DD63AF58D8BD}">
  <dimension ref="A1:L15"/>
  <sheetViews>
    <sheetView showGridLines="0" workbookViewId="0"/>
  </sheetViews>
  <sheetFormatPr defaultRowHeight="15" x14ac:dyDescent="0.25"/>
  <cols>
    <col min="1" max="1" width="41.85546875" customWidth="1"/>
    <col min="2" max="12" width="16.140625" customWidth="1"/>
  </cols>
  <sheetData>
    <row r="1" spans="1:12" x14ac:dyDescent="0.25">
      <c r="A1" t="s">
        <v>6</v>
      </c>
    </row>
    <row r="2" spans="1:12" x14ac:dyDescent="0.25">
      <c r="A2" t="s">
        <v>95</v>
      </c>
    </row>
    <row r="4" spans="1:12" x14ac:dyDescent="0.25">
      <c r="A4" t="s">
        <v>59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</row>
    <row r="5" spans="1:12" x14ac:dyDescent="0.25">
      <c r="A5" t="s">
        <v>96</v>
      </c>
    </row>
    <row r="6" spans="1:12" x14ac:dyDescent="0.25">
      <c r="A6" t="s">
        <v>97</v>
      </c>
      <c r="B6" s="24">
        <v>2439.3000000000002</v>
      </c>
      <c r="C6" s="24">
        <f>B11</f>
        <v>2337.5</v>
      </c>
      <c r="D6" s="24">
        <f>C11</f>
        <v>2191.9</v>
      </c>
      <c r="E6" s="24">
        <f>D11</f>
        <v>2038.4</v>
      </c>
      <c r="F6" s="24">
        <f>E11</f>
        <v>2012.1</v>
      </c>
      <c r="G6">
        <v>2129.6</v>
      </c>
      <c r="H6" s="25">
        <f>F11</f>
        <v>2129.6</v>
      </c>
      <c r="I6" s="25">
        <f>H11</f>
        <v>2110.4450313319999</v>
      </c>
      <c r="J6" s="25">
        <f>I11</f>
        <v>2106.0452186692801</v>
      </c>
      <c r="K6" s="25">
        <f>J11</f>
        <v>2102.4515580842062</v>
      </c>
      <c r="L6" s="25">
        <f>K11</f>
        <v>2108.7096284774852</v>
      </c>
    </row>
    <row r="7" spans="1:12" x14ac:dyDescent="0.25">
      <c r="A7" t="s">
        <v>98</v>
      </c>
      <c r="B7">
        <v>198.5</v>
      </c>
      <c r="C7">
        <v>223.8</v>
      </c>
      <c r="D7">
        <v>302.39999999999998</v>
      </c>
      <c r="E7">
        <v>367.5</v>
      </c>
      <c r="F7">
        <v>445.1</v>
      </c>
      <c r="G7">
        <v>370.3</v>
      </c>
      <c r="H7" s="25">
        <f>Income_Statement!H5*Assumptions!H21</f>
        <v>421.82457000000011</v>
      </c>
      <c r="I7" s="25">
        <f>Income_Statement!I5*Assumptions!I21</f>
        <v>410.43274920000005</v>
      </c>
      <c r="J7" s="25">
        <f>Income_Statement!J5*Assumptions!J21</f>
        <v>396.24835631624995</v>
      </c>
      <c r="K7" s="25">
        <f>Income_Statement!K5*Assumptions!K21</f>
        <v>407.65641226920002</v>
      </c>
      <c r="L7" s="25">
        <f>Income_Statement!L5*Assumptions!L21</f>
        <v>419.39511144468804</v>
      </c>
    </row>
    <row r="8" spans="1:12" x14ac:dyDescent="0.25">
      <c r="A8" t="s">
        <v>99</v>
      </c>
      <c r="B8">
        <v>-86.2</v>
      </c>
      <c r="C8">
        <v>-33.9</v>
      </c>
      <c r="D8">
        <v>-80.099999999999994</v>
      </c>
      <c r="E8">
        <v>-44.1</v>
      </c>
      <c r="F8">
        <v>-72.099999999999994</v>
      </c>
      <c r="G8">
        <v>0</v>
      </c>
      <c r="H8" s="32">
        <f>-H7*Assumptions!H47</f>
        <v>-50.618948400000008</v>
      </c>
      <c r="I8" s="32">
        <f>-I7*Assumptions!I47</f>
        <v>-41.043274920000009</v>
      </c>
      <c r="J8" s="32">
        <f>-J7*Assumptions!J47</f>
        <v>-39.624835631624997</v>
      </c>
      <c r="K8" s="32">
        <f>-K7*Assumptions!K47</f>
        <v>-40.765641226920003</v>
      </c>
      <c r="L8" s="32">
        <f>-L7*Assumptions!L47</f>
        <v>-41.93951114446881</v>
      </c>
    </row>
    <row r="9" spans="1:12" x14ac:dyDescent="0.25">
      <c r="A9" t="s">
        <v>100</v>
      </c>
      <c r="B9">
        <v>-432</v>
      </c>
      <c r="C9">
        <v>-376.3</v>
      </c>
      <c r="D9">
        <v>-357.2</v>
      </c>
      <c r="E9">
        <v>-364.2</v>
      </c>
      <c r="F9">
        <v>-368.4</v>
      </c>
      <c r="G9">
        <v>-199.4</v>
      </c>
      <c r="H9" s="32">
        <f>-Assumptions!H20*(H6+H6+H7-H8)/2</f>
        <v>-390.36059026799995</v>
      </c>
      <c r="I9" s="32">
        <f>-Assumptions!I20*(I6+I6+I7-I8)/2</f>
        <v>-373.78928694272003</v>
      </c>
      <c r="J9" s="32">
        <f>-Assumptions!J20*(J6+J6+J7-J8)/2</f>
        <v>-360.21718126969864</v>
      </c>
      <c r="K9" s="32">
        <f>-Assumptions!K20*(K6+K6+K7-K8)/2</f>
        <v>-360.63270064900121</v>
      </c>
      <c r="L9" s="32">
        <f>-Assumptions!L20*(L6+L6+L7-L8)/2</f>
        <v>-362.60342566466989</v>
      </c>
    </row>
    <row r="10" spans="1:12" x14ac:dyDescent="0.25">
      <c r="A10" t="s">
        <v>101</v>
      </c>
      <c r="B10">
        <v>217.9</v>
      </c>
      <c r="C10">
        <v>40.799999999999997</v>
      </c>
      <c r="D10">
        <v>-18.600000000000001</v>
      </c>
      <c r="E10">
        <v>14.5</v>
      </c>
      <c r="F10">
        <v>112.9</v>
      </c>
      <c r="G10">
        <v>-164.3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</row>
    <row r="11" spans="1:12" x14ac:dyDescent="0.25">
      <c r="A11" t="s">
        <v>102</v>
      </c>
      <c r="B11">
        <v>2337.5</v>
      </c>
      <c r="C11">
        <v>2191.9</v>
      </c>
      <c r="D11">
        <v>2038.4</v>
      </c>
      <c r="E11">
        <v>2012.1</v>
      </c>
      <c r="F11">
        <v>2129.6</v>
      </c>
      <c r="G11">
        <v>2136.1999999999998</v>
      </c>
      <c r="H11" s="27">
        <f>H6+H7+H8+H9+H10</f>
        <v>2110.4450313319999</v>
      </c>
      <c r="I11" s="27">
        <f>I6+I7+I8+I9+I10</f>
        <v>2106.0452186692801</v>
      </c>
      <c r="J11" s="27">
        <f>J6+J7+J8+J9+J10</f>
        <v>2102.4515580842062</v>
      </c>
      <c r="K11" s="27">
        <f>K6+K7+K8+K9+K10</f>
        <v>2108.7096284774852</v>
      </c>
      <c r="L11" s="27">
        <f>L6+L7+L8+L9+L10</f>
        <v>2123.5618031130348</v>
      </c>
    </row>
    <row r="13" spans="1:12" x14ac:dyDescent="0.25">
      <c r="A13" t="s">
        <v>103</v>
      </c>
      <c r="B13">
        <v>432</v>
      </c>
      <c r="C13">
        <v>376.3</v>
      </c>
      <c r="D13">
        <v>357.2</v>
      </c>
      <c r="E13">
        <v>364.2</v>
      </c>
      <c r="F13">
        <v>368.4</v>
      </c>
      <c r="G13">
        <v>199.4</v>
      </c>
      <c r="H13" s="25">
        <f>-H9</f>
        <v>390.36059026799995</v>
      </c>
      <c r="I13" s="25">
        <f>-I9</f>
        <v>373.78928694272003</v>
      </c>
      <c r="J13" s="25">
        <f>-J9</f>
        <v>360.21718126969864</v>
      </c>
      <c r="K13" s="25">
        <f>-K9</f>
        <v>360.63270064900121</v>
      </c>
      <c r="L13" s="25">
        <f>-L9</f>
        <v>362.60342566466989</v>
      </c>
    </row>
    <row r="14" spans="1:12" x14ac:dyDescent="0.25">
      <c r="A14" t="s">
        <v>104</v>
      </c>
      <c r="B14">
        <v>198.5</v>
      </c>
      <c r="C14">
        <v>223.8</v>
      </c>
      <c r="D14">
        <v>302.39999999999998</v>
      </c>
      <c r="E14">
        <v>367.5</v>
      </c>
      <c r="F14">
        <v>445.1</v>
      </c>
      <c r="G14">
        <v>370.3</v>
      </c>
      <c r="H14" s="25">
        <f>H7</f>
        <v>421.82457000000011</v>
      </c>
      <c r="I14" s="25">
        <f>I7</f>
        <v>410.43274920000005</v>
      </c>
      <c r="J14" s="25">
        <f>J7</f>
        <v>396.24835631624995</v>
      </c>
      <c r="K14" s="25">
        <f>K7</f>
        <v>407.65641226920002</v>
      </c>
      <c r="L14" s="25">
        <f>L7</f>
        <v>419.39511144468804</v>
      </c>
    </row>
    <row r="15" spans="1:12" x14ac:dyDescent="0.25">
      <c r="A15" t="s">
        <v>105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01AC-EC39-4A07-A9B3-85E3D2B0920A}">
  <dimension ref="A1:H25"/>
  <sheetViews>
    <sheetView showGridLines="0" workbookViewId="0"/>
  </sheetViews>
  <sheetFormatPr defaultRowHeight="15" x14ac:dyDescent="0.25"/>
  <sheetData>
    <row r="1" spans="1:8" ht="15.75" x14ac:dyDescent="0.25">
      <c r="A1" s="5" t="s">
        <v>6</v>
      </c>
    </row>
    <row r="2" spans="1:8" x14ac:dyDescent="0.25">
      <c r="A2" s="6" t="s">
        <v>169</v>
      </c>
      <c r="B2" s="1"/>
      <c r="C2" s="1"/>
      <c r="D2" s="1"/>
      <c r="E2" s="1"/>
      <c r="F2" s="1"/>
      <c r="G2" s="1"/>
      <c r="H2" s="1"/>
    </row>
    <row r="4" spans="1:8" x14ac:dyDescent="0.25">
      <c r="A4" s="13" t="s">
        <v>170</v>
      </c>
      <c r="B4" s="14"/>
      <c r="C4" s="14"/>
      <c r="D4" s="14"/>
      <c r="E4" s="14"/>
      <c r="F4" s="14"/>
      <c r="G4" s="14"/>
      <c r="H4" s="14"/>
    </row>
    <row r="5" spans="1:8" x14ac:dyDescent="0.25">
      <c r="A5" s="8" t="s">
        <v>59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</row>
    <row r="6" spans="1:8" x14ac:dyDescent="0.25">
      <c r="A6" s="7" t="s">
        <v>276</v>
      </c>
      <c r="B6" s="25">
        <f>Cash_Flow!H41</f>
        <v>263.13210434745167</v>
      </c>
      <c r="C6" s="25">
        <f>Cash_Flow!I41</f>
        <v>275.40155582621838</v>
      </c>
      <c r="D6" s="25">
        <f>Cash_Flow!J41</f>
        <v>290.91216939766872</v>
      </c>
      <c r="E6" s="25">
        <f>Cash_Flow!K41</f>
        <v>307.46603374079939</v>
      </c>
      <c r="F6" s="25">
        <f>Cash_Flow!L41</f>
        <v>306.9571265459964</v>
      </c>
    </row>
    <row r="7" spans="1:8" x14ac:dyDescent="0.25">
      <c r="A7" s="7" t="s">
        <v>171</v>
      </c>
      <c r="B7" s="56">
        <f>1/(1+Assumptions!G45)^1</f>
        <v>0.92592592592592582</v>
      </c>
      <c r="C7" s="56">
        <f>1/(1+Assumptions!G45)^2</f>
        <v>0.85733882030178321</v>
      </c>
      <c r="D7" s="56">
        <f>1/(1+Assumptions!G45)^3</f>
        <v>0.79383224102016958</v>
      </c>
      <c r="E7" s="56">
        <f>1/(1+Assumptions!G45)^4</f>
        <v>0.73502985279645328</v>
      </c>
      <c r="F7" s="56">
        <f>1/(1+Assumptions!G45)^5</f>
        <v>0.68058319703375303</v>
      </c>
    </row>
    <row r="8" spans="1:8" x14ac:dyDescent="0.25">
      <c r="A8" s="7" t="s">
        <v>172</v>
      </c>
      <c r="B8" s="25">
        <f>B6*B7</f>
        <v>243.64083735875153</v>
      </c>
      <c r="C8" s="25">
        <f>C6*C7</f>
        <v>236.11244498132575</v>
      </c>
      <c r="D8" s="25">
        <f>D6*D7</f>
        <v>230.93545937299055</v>
      </c>
      <c r="E8" s="25">
        <f>E6*E7</f>
        <v>225.99671352040912</v>
      </c>
      <c r="F8" s="25">
        <f>F6*F7</f>
        <v>208.90986253696852</v>
      </c>
    </row>
    <row r="10" spans="1:8" x14ac:dyDescent="0.25">
      <c r="A10" s="9" t="s">
        <v>173</v>
      </c>
      <c r="B10" s="31">
        <f>SUM(B8:F8)</f>
        <v>1145.5953177704455</v>
      </c>
    </row>
    <row r="11" spans="1:8" x14ac:dyDescent="0.25">
      <c r="A11" s="7" t="s">
        <v>174</v>
      </c>
      <c r="B11" s="25">
        <f>F6*(1+Assumptions!G46)</f>
        <v>313.09626907691631</v>
      </c>
    </row>
    <row r="12" spans="1:8" x14ac:dyDescent="0.25">
      <c r="A12" s="7" t="s">
        <v>175</v>
      </c>
      <c r="B12" s="25">
        <f>B11/(Assumptions!G45-Assumptions!G46)</f>
        <v>5218.2711512819387</v>
      </c>
    </row>
    <row r="13" spans="1:8" x14ac:dyDescent="0.25">
      <c r="A13" s="7" t="s">
        <v>176</v>
      </c>
      <c r="B13" s="25">
        <f>B12*F7</f>
        <v>3551.4676631284651</v>
      </c>
    </row>
    <row r="15" spans="1:8" x14ac:dyDescent="0.25">
      <c r="A15" s="26" t="s">
        <v>177</v>
      </c>
      <c r="B15" s="27">
        <f>B10+B13</f>
        <v>4697.0629808989106</v>
      </c>
    </row>
    <row r="16" spans="1:8" x14ac:dyDescent="0.25">
      <c r="A16" s="7" t="s">
        <v>178</v>
      </c>
      <c r="B16" s="32">
        <f>-Debt_and_Leases!F17+Balance_Sheet!F6</f>
        <v>-433.19999999999993</v>
      </c>
    </row>
    <row r="17" spans="1:7" x14ac:dyDescent="0.25">
      <c r="A17" s="7" t="s">
        <v>179</v>
      </c>
      <c r="B17" s="32">
        <f>-Balance_Sheet!F26</f>
        <v>-426.6</v>
      </c>
    </row>
    <row r="18" spans="1:7" x14ac:dyDescent="0.25">
      <c r="A18" s="49" t="s">
        <v>180</v>
      </c>
      <c r="B18" s="40">
        <f>B15+B16+B17</f>
        <v>3837.2629808989109</v>
      </c>
    </row>
    <row r="19" spans="1:7" x14ac:dyDescent="0.25">
      <c r="A19" s="7" t="s">
        <v>181</v>
      </c>
      <c r="B19" s="25">
        <f>Assumptions!H42</f>
        <v>2166.6</v>
      </c>
    </row>
    <row r="20" spans="1:7" x14ac:dyDescent="0.25">
      <c r="A20" s="57" t="s">
        <v>182</v>
      </c>
      <c r="B20" s="58">
        <f>B18/B19</f>
        <v>1.7710989480748227</v>
      </c>
    </row>
    <row r="22" spans="1:7" x14ac:dyDescent="0.25">
      <c r="A22" s="13" t="s">
        <v>183</v>
      </c>
      <c r="B22" s="14"/>
      <c r="C22" s="12" t="s">
        <v>15</v>
      </c>
      <c r="D22" s="12" t="s">
        <v>16</v>
      </c>
      <c r="E22" s="12" t="s">
        <v>17</v>
      </c>
      <c r="F22" s="12" t="s">
        <v>18</v>
      </c>
      <c r="G22" s="12" t="s">
        <v>19</v>
      </c>
    </row>
    <row r="23" spans="1:7" x14ac:dyDescent="0.25">
      <c r="A23" s="7" t="s">
        <v>184</v>
      </c>
      <c r="C23" s="59">
        <f>B15/Income_Statement!H10</f>
        <v>6.0643798420362645</v>
      </c>
      <c r="D23" s="59">
        <f>B15/Income_Statement!I10</f>
        <v>6.0238166275842078</v>
      </c>
      <c r="E23" s="59">
        <f>B15/Income_Statement!J10</f>
        <v>5.981853612614243</v>
      </c>
      <c r="F23" s="59">
        <f>B15/Income_Statement!K10</f>
        <v>5.854058698155189</v>
      </c>
      <c r="G23" s="59">
        <f>B15/Income_Statement!L10</f>
        <v>5.7561143666006602</v>
      </c>
    </row>
    <row r="24" spans="1:7" x14ac:dyDescent="0.25">
      <c r="A24" s="7" t="s">
        <v>185</v>
      </c>
      <c r="C24" s="59">
        <f>B18/Income_Statement!H20</f>
        <v>16.446463359571851</v>
      </c>
      <c r="D24" s="59">
        <f>B18/Income_Statement!I20</f>
        <v>15.02821874252701</v>
      </c>
      <c r="E24" s="59">
        <f>B18/Income_Statement!J20</f>
        <v>14.096416500917025</v>
      </c>
      <c r="F24" s="59">
        <f>B18/Income_Statement!K20</f>
        <v>13.453843040980145</v>
      </c>
      <c r="G24" s="59">
        <f>B18/Income_Statement!L20</f>
        <v>13.023246087402004</v>
      </c>
    </row>
    <row r="25" spans="1:7" x14ac:dyDescent="0.25">
      <c r="A25" s="7" t="s">
        <v>186</v>
      </c>
      <c r="C25" s="30">
        <f>Cash_Flow!H32/B18</f>
        <v>0.10494416001610578</v>
      </c>
      <c r="D25" s="30">
        <f>Cash_Flow!I32/B18</f>
        <v>7.6227761141609257E-2</v>
      </c>
      <c r="E25" s="30">
        <f>Cash_Flow!J32/B18</f>
        <v>7.8820625411733999E-2</v>
      </c>
      <c r="F25" s="30">
        <f>Cash_Flow!K32/B18</f>
        <v>7.5290774022254328E-2</v>
      </c>
      <c r="G25" s="30">
        <f>Cash_Flow!L32/B18</f>
        <v>7.506199379252082E-2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1359-7094-4E0A-926A-7D5C99082FDE}">
  <dimension ref="A1:G9"/>
  <sheetViews>
    <sheetView showGridLines="0" workbookViewId="0"/>
  </sheetViews>
  <sheetFormatPr defaultRowHeight="15" x14ac:dyDescent="0.25"/>
  <cols>
    <col min="1" max="1" width="19" customWidth="1"/>
    <col min="2" max="7" width="16.140625" customWidth="1"/>
  </cols>
  <sheetData>
    <row r="1" spans="1:7" x14ac:dyDescent="0.25">
      <c r="A1" s="63" t="s">
        <v>224</v>
      </c>
    </row>
    <row r="3" spans="1:7" x14ac:dyDescent="0.25">
      <c r="A3" s="13" t="s">
        <v>225</v>
      </c>
    </row>
    <row r="4" spans="1:7" x14ac:dyDescent="0.25">
      <c r="A4" s="37" t="s">
        <v>226</v>
      </c>
      <c r="B4" s="68" t="s">
        <v>227</v>
      </c>
      <c r="C4" s="70">
        <v>0.01</v>
      </c>
      <c r="D4" s="70">
        <v>1.4999999999999999E-2</v>
      </c>
      <c r="E4" s="70">
        <v>0.02</v>
      </c>
      <c r="F4" s="70">
        <v>2.5000000000000001E-2</v>
      </c>
      <c r="G4" s="70">
        <v>0.03</v>
      </c>
    </row>
    <row r="5" spans="1:7" x14ac:dyDescent="0.25">
      <c r="A5" s="11" t="s">
        <v>228</v>
      </c>
      <c r="B5" s="69">
        <v>7.0000000000000007E-2</v>
      </c>
      <c r="C5" s="71">
        <f>(Valuation!$B$6/(1+$B5)^1+Valuation!$C$6/(1+$B5)^2+Valuation!$D$6/(1+$B5)^3+Valuation!$E$6/(1+$B5)^4+Valuation!$F$6/(1+$B5)^5+Valuation!$F$6*(1+C$4)/($B5-C$4)/(1+$B5)^5+Valuation!$B$16+Valuation!$B$17)/Valuation!$B$19</f>
        <v>1.8469652725752583</v>
      </c>
      <c r="D5" s="71">
        <f>(Valuation!$B$6/(1+$B5)^1+Valuation!$C$6/(1+$B5)^2+Valuation!$D$6/(1+$B5)^3+Valuation!$E$6/(1+$B5)^4+Valuation!$F$6/(1+$B5)^5+Valuation!$F$6*(1+D$4)/($B5-D$4)/(1+$B5)^5+Valuation!$B$16+Valuation!$B$17)/Valuation!$B$19</f>
        <v>2.0107298374610352</v>
      </c>
      <c r="E5" s="71">
        <f>(Valuation!$B$6/(1+$B5)^1+Valuation!$C$6/(1+$B5)^2+Valuation!$D$6/(1+$B5)^3+Valuation!$E$6/(1+$B5)^4+Valuation!$F$6/(1+$B5)^5+Valuation!$F$6*(1+E$4)/($B5-E$4)/(1+$B5)^5+Valuation!$B$16+Valuation!$B$17)/Valuation!$B$19</f>
        <v>2.2072473153239689</v>
      </c>
      <c r="F5" s="71">
        <f>(Valuation!$B$6/(1+$B5)^1+Valuation!$C$6/(1+$B5)^2+Valuation!$D$6/(1+$B5)^3+Valuation!$E$6/(1+$B5)^4+Valuation!$F$6/(1+$B5)^5+Valuation!$F$6*(1+F$4)/($B5-F$4)/(1+$B5)^5+Valuation!$B$16+Valuation!$B$17)/Valuation!$B$19</f>
        <v>2.4474353438231087</v>
      </c>
      <c r="G5" s="71">
        <f>(Valuation!$B$6/(1+$B5)^1+Valuation!$C$6/(1+$B5)^2+Valuation!$D$6/(1+$B5)^3+Valuation!$E$6/(1+$B5)^4+Valuation!$F$6/(1+$B5)^5+Valuation!$F$6*(1+G$4)/($B5-G$4)/(1+$B5)^5+Valuation!$B$16+Valuation!$B$17)/Valuation!$B$19</f>
        <v>2.7476703794470345</v>
      </c>
    </row>
    <row r="6" spans="1:7" x14ac:dyDescent="0.25">
      <c r="A6" s="11" t="s">
        <v>229</v>
      </c>
      <c r="B6" s="69">
        <v>7.4999999999999997E-2</v>
      </c>
      <c r="C6" s="71">
        <f>(Valuation!$B$6/(1+$B6)^1+Valuation!$C$6/(1+$B6)^2+Valuation!$D$6/(1+$B6)^3+Valuation!$E$6/(1+$B6)^4+Valuation!$F$6/(1+$B6)^5+Valuation!$F$6*(1+C$4)/($B6-C$4)/(1+$B6)^5+Valuation!$B$16+Valuation!$B$17)/Valuation!$B$19</f>
        <v>1.6725930732082925</v>
      </c>
      <c r="D6" s="71">
        <f>(Valuation!$B$6/(1+$B6)^1+Valuation!$C$6/(1+$B6)^2+Valuation!$D$6/(1+$B6)^3+Valuation!$E$6/(1+$B6)^4+Valuation!$F$6/(1+$B6)^5+Valuation!$F$6*(1+D$4)/($B6-D$4)/(1+$B6)^5+Valuation!$B$16+Valuation!$B$17)/Valuation!$B$19</f>
        <v>1.8086029734988789</v>
      </c>
      <c r="E6" s="71">
        <f>(Valuation!$B$6/(1+$B6)^1+Valuation!$C$6/(1+$B6)^2+Valuation!$D$6/(1+$B6)^3+Valuation!$E$6/(1+$B6)^4+Valuation!$F$6/(1+$B6)^5+Valuation!$F$6*(1+E$4)/($B6-E$4)/(1+$B6)^5+Valuation!$B$16+Valuation!$B$17)/Valuation!$B$19</f>
        <v>1.9693419465695718</v>
      </c>
      <c r="F6" s="71">
        <f>(Valuation!$B$6/(1+$B6)^1+Valuation!$C$6/(1+$B6)^2+Valuation!$D$6/(1+$B6)^3+Valuation!$E$6/(1+$B6)^4+Valuation!$F$6/(1+$B6)^5+Valuation!$F$6*(1+F$4)/($B6-F$4)/(1+$B6)^5+Valuation!$B$16+Valuation!$B$17)/Valuation!$B$19</f>
        <v>2.1622287142544034</v>
      </c>
      <c r="G6" s="71">
        <f>(Valuation!$B$6/(1+$B6)^1+Valuation!$C$6/(1+$B6)^2+Valuation!$D$6/(1+$B6)^3+Valuation!$E$6/(1+$B6)^4+Valuation!$F$6/(1+$B6)^5+Valuation!$F$6*(1+G$4)/($B6-G$4)/(1+$B6)^5+Valuation!$B$16+Valuation!$B$17)/Valuation!$B$19</f>
        <v>2.3979792080914195</v>
      </c>
    </row>
    <row r="7" spans="1:7" x14ac:dyDescent="0.25">
      <c r="A7" s="11" t="s">
        <v>230</v>
      </c>
      <c r="B7" s="69">
        <v>0.08</v>
      </c>
      <c r="C7" s="71">
        <f>(Valuation!$B$6/(1+$B7)^1+Valuation!$C$6/(1+$B7)^2+Valuation!$D$6/(1+$B7)^3+Valuation!$E$6/(1+$B7)^4+Valuation!$F$6/(1+$B7)^5+Valuation!$F$6*(1+C$4)/($B7-C$4)/(1+$B7)^5+Valuation!$B$16+Valuation!$B$17)/Valuation!$B$19</f>
        <v>1.5231543392957325</v>
      </c>
      <c r="D7" s="71">
        <f>(Valuation!$B$6/(1+$B7)^1+Valuation!$C$6/(1+$B7)^2+Valuation!$D$6/(1+$B7)^3+Valuation!$E$6/(1+$B7)^4+Valuation!$F$6/(1+$B7)^5+Valuation!$F$6*(1+D$4)/($B7-D$4)/(1+$B7)^5+Valuation!$B$16+Valuation!$B$17)/Valuation!$B$19</f>
        <v>1.6375903125783895</v>
      </c>
      <c r="E7" s="72">
        <f>(Valuation!$B$6/(1+$B7)^1+Valuation!$C$6/(1+$B7)^2+Valuation!$D$6/(1+$B7)^3+Valuation!$E$6/(1+$B7)^4+Valuation!$F$6/(1+$B7)^5+Valuation!$F$6*(1+E$4)/($B7-E$4)/(1+$B7)^5+Valuation!$B$16+Valuation!$B$17)/Valuation!$B$19</f>
        <v>1.7710989480748227</v>
      </c>
      <c r="F7" s="71">
        <f>(Valuation!$B$6/(1+$B7)^1+Valuation!$C$6/(1+$B7)^2+Valuation!$D$6/(1+$B7)^3+Valuation!$E$6/(1+$B7)^4+Valuation!$F$6/(1+$B7)^5+Valuation!$F$6*(1+F$4)/($B7-F$4)/(1+$B7)^5+Valuation!$B$16+Valuation!$B$17)/Valuation!$B$19</f>
        <v>1.928881880934243</v>
      </c>
      <c r="G7" s="71">
        <f>(Valuation!$B$6/(1+$B7)^1+Valuation!$C$6/(1+$B7)^2+Valuation!$D$6/(1+$B7)^3+Valuation!$E$6/(1+$B7)^4+Valuation!$F$6/(1+$B7)^5+Valuation!$F$6*(1+G$4)/($B7-G$4)/(1+$B7)^5+Valuation!$B$16+Valuation!$B$17)/Valuation!$B$19</f>
        <v>2.1182214003655488</v>
      </c>
    </row>
    <row r="8" spans="1:7" x14ac:dyDescent="0.25">
      <c r="A8" s="11" t="s">
        <v>231</v>
      </c>
      <c r="B8" s="69">
        <v>8.5000000000000006E-2</v>
      </c>
      <c r="C8" s="71">
        <f>(Valuation!$B$6/(1+$B8)^1+Valuation!$C$6/(1+$B8)^2+Valuation!$D$6/(1+$B8)^3+Valuation!$E$6/(1+$B8)^4+Valuation!$F$6/(1+$B8)^5+Valuation!$F$6*(1+C$4)/($B8-C$4)/(1+$B8)^5+Valuation!$B$16+Valuation!$B$17)/Valuation!$B$19</f>
        <v>1.3936619763116562</v>
      </c>
      <c r="D8" s="71">
        <f>(Valuation!$B$6/(1+$B8)^1+Valuation!$C$6/(1+$B8)^2+Valuation!$D$6/(1+$B8)^3+Valuation!$E$6/(1+$B8)^4+Valuation!$F$6/(1+$B8)^5+Valuation!$F$6*(1+D$4)/($B8-D$4)/(1+$B8)^5+Valuation!$B$16+Valuation!$B$17)/Valuation!$B$19</f>
        <v>1.4910242551019375</v>
      </c>
      <c r="E8" s="71">
        <f>(Valuation!$B$6/(1+$B8)^1+Valuation!$C$6/(1+$B8)^2+Valuation!$D$6/(1+$B8)^3+Valuation!$E$6/(1+$B8)^4+Valuation!$F$6/(1+$B8)^5+Valuation!$F$6*(1+E$4)/($B8-E$4)/(1+$B8)^5+Valuation!$B$16+Valuation!$B$17)/Valuation!$B$19</f>
        <v>1.6033653460138007</v>
      </c>
      <c r="F8" s="71">
        <f>(Valuation!$B$6/(1+$B8)^1+Valuation!$C$6/(1+$B8)^2+Valuation!$D$6/(1+$B8)^3+Valuation!$E$6/(1+$B8)^4+Valuation!$F$6/(1+$B8)^5+Valuation!$F$6*(1+F$4)/($B8-F$4)/(1+$B8)^5+Valuation!$B$16+Valuation!$B$17)/Valuation!$B$19</f>
        <v>1.7344299520776409</v>
      </c>
      <c r="G8" s="71">
        <f>(Valuation!$B$6/(1+$B8)^1+Valuation!$C$6/(1+$B8)^2+Valuation!$D$6/(1+$B8)^3+Valuation!$E$6/(1+$B8)^4+Valuation!$F$6/(1+$B8)^5+Valuation!$F$6*(1+G$4)/($B8-G$4)/(1+$B8)^5+Valuation!$B$16+Valuation!$B$17)/Valuation!$B$19</f>
        <v>1.8893244865167251</v>
      </c>
    </row>
    <row r="9" spans="1:7" x14ac:dyDescent="0.25">
      <c r="A9" s="11" t="s">
        <v>232</v>
      </c>
      <c r="B9" s="69">
        <v>0.09</v>
      </c>
      <c r="C9" s="71">
        <f>(Valuation!$B$6/(1+$B9)^1+Valuation!$C$6/(1+$B9)^2+Valuation!$D$6/(1+$B9)^3+Valuation!$E$6/(1+$B9)^4+Valuation!$F$6/(1+$B9)^5+Valuation!$F$6*(1+C$4)/($B9-C$4)/(1+$B9)^5+Valuation!$B$16+Valuation!$B$17)/Valuation!$B$19</f>
        <v>1.2803756718796298</v>
      </c>
      <c r="D9" s="71">
        <f>(Valuation!$B$6/(1+$B9)^1+Valuation!$C$6/(1+$B9)^2+Valuation!$D$6/(1+$B9)^3+Valuation!$E$6/(1+$B9)^4+Valuation!$F$6/(1+$B9)^5+Valuation!$F$6*(1+D$4)/($B9-D$4)/(1+$B9)^5+Valuation!$B$16+Valuation!$B$17)/Valuation!$B$19</f>
        <v>1.3640152327743167</v>
      </c>
      <c r="E9" s="71">
        <f>(Valuation!$B$6/(1+$B9)^1+Valuation!$C$6/(1+$B9)^2+Valuation!$D$6/(1+$B9)^3+Valuation!$E$6/(1+$B9)^4+Valuation!$F$6/(1+$B9)^5+Valuation!$F$6*(1+E$4)/($B9-E$4)/(1+$B9)^5+Valuation!$B$16+Valuation!$B$17)/Valuation!$B$19</f>
        <v>1.4596033023682444</v>
      </c>
      <c r="F9" s="71">
        <f>(Valuation!$B$6/(1+$B9)^1+Valuation!$C$6/(1+$B9)^2+Valuation!$D$6/(1+$B9)^3+Valuation!$E$6/(1+$B9)^4+Valuation!$F$6/(1+$B9)^5+Valuation!$F$6*(1+F$4)/($B9-F$4)/(1+$B9)^5+Valuation!$B$16+Valuation!$B$17)/Valuation!$B$19</f>
        <v>1.5698972288227759</v>
      </c>
      <c r="G9" s="71">
        <f>(Valuation!$B$6/(1+$B9)^1+Valuation!$C$6/(1+$B9)^2+Valuation!$D$6/(1+$B9)^3+Valuation!$E$6/(1+$B9)^4+Valuation!$F$6/(1+$B9)^5+Valuation!$F$6*(1+G$4)/($B9-G$4)/(1+$B9)^5+Valuation!$B$16+Valuation!$B$17)/Valuation!$B$19</f>
        <v>1.6985734763530633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F765-FAA9-4947-95EB-57F02130F135}">
  <dimension ref="A1:N13"/>
  <sheetViews>
    <sheetView showGridLines="0" workbookViewId="0"/>
  </sheetViews>
  <sheetFormatPr defaultRowHeight="15" x14ac:dyDescent="0.25"/>
  <sheetData>
    <row r="1" spans="1:14" ht="15.75" x14ac:dyDescent="0.25">
      <c r="A1" s="5" t="s">
        <v>6</v>
      </c>
    </row>
    <row r="2" spans="1:14" x14ac:dyDescent="0.25">
      <c r="A2" s="6" t="s">
        <v>187</v>
      </c>
      <c r="B2" s="1"/>
      <c r="C2" s="1"/>
      <c r="D2" s="1"/>
      <c r="E2" s="1"/>
      <c r="F2" s="1"/>
      <c r="G2" s="1"/>
      <c r="H2" s="1"/>
      <c r="I2" s="1"/>
    </row>
    <row r="4" spans="1:14" x14ac:dyDescent="0.25">
      <c r="A4" s="13" t="s">
        <v>188</v>
      </c>
      <c r="B4" s="60" t="s">
        <v>15</v>
      </c>
      <c r="C4" s="60" t="s">
        <v>16</v>
      </c>
      <c r="D4" s="60" t="s">
        <v>17</v>
      </c>
      <c r="E4" s="60" t="s">
        <v>18</v>
      </c>
      <c r="F4" s="60" t="s">
        <v>19</v>
      </c>
      <c r="N4" s="60" t="s">
        <v>189</v>
      </c>
    </row>
    <row r="5" spans="1:14" x14ac:dyDescent="0.25">
      <c r="A5" s="7" t="s">
        <v>263</v>
      </c>
      <c r="B5" s="25">
        <f>Balance_Sheet!B29</f>
        <v>0</v>
      </c>
      <c r="C5" s="25">
        <f>Balance_Sheet!C29</f>
        <v>0</v>
      </c>
      <c r="D5" s="25">
        <f>Balance_Sheet!D29</f>
        <v>0</v>
      </c>
      <c r="E5" s="25">
        <f>Balance_Sheet!E29</f>
        <v>0</v>
      </c>
      <c r="F5" s="25">
        <f>Balance_Sheet!F29</f>
        <v>0</v>
      </c>
      <c r="I5" s="25">
        <f>Balance_Sheet!I29</f>
        <v>0</v>
      </c>
      <c r="J5" s="25">
        <f>Balance_Sheet!J29</f>
        <v>0</v>
      </c>
      <c r="K5" s="25">
        <f>Balance_Sheet!K29</f>
        <v>0</v>
      </c>
      <c r="L5" s="25">
        <f>Balance_Sheet!L29</f>
        <v>0</v>
      </c>
      <c r="N5" s="82" t="str" cm="1">
        <f t="array" ref="N5">IF(SUMPRODUCT(ABS(B5:L5))&lt;0.5,"PASS","FAIL")</f>
        <v>PASS</v>
      </c>
    </row>
    <row r="6" spans="1:14" x14ac:dyDescent="0.25">
      <c r="A6" s="7" t="s">
        <v>190</v>
      </c>
      <c r="B6" s="32">
        <f>Income_Statement!H5-Segment_Model!H11</f>
        <v>0</v>
      </c>
      <c r="C6" s="32">
        <f>Income_Statement!I5-Segment_Model!I11</f>
        <v>0</v>
      </c>
      <c r="D6" s="32">
        <f>Income_Statement!J5-Segment_Model!J11</f>
        <v>0</v>
      </c>
      <c r="E6" s="32">
        <f>Income_Statement!K5-Segment_Model!K11</f>
        <v>0</v>
      </c>
      <c r="F6" s="32">
        <f>Income_Statement!L5-Segment_Model!L11</f>
        <v>0</v>
      </c>
      <c r="N6" s="82" t="str" cm="1">
        <f t="array" ref="N6">IF(SUMPRODUCT(ABS(B6:F6))&lt;0.1,"PASS","FAIL")</f>
        <v>PASS</v>
      </c>
    </row>
    <row r="7" spans="1:14" x14ac:dyDescent="0.25">
      <c r="A7" s="7" t="s">
        <v>191</v>
      </c>
      <c r="B7" s="32">
        <f>Income_Statement!H7-Segment_Model!H20</f>
        <v>0</v>
      </c>
      <c r="C7" s="32">
        <f>Income_Statement!I7-Segment_Model!I20</f>
        <v>0</v>
      </c>
      <c r="D7" s="32">
        <f>Income_Statement!J7-Segment_Model!J20</f>
        <v>0</v>
      </c>
      <c r="E7" s="32">
        <f>Income_Statement!K7-Segment_Model!K20</f>
        <v>0</v>
      </c>
      <c r="F7" s="32">
        <f>Income_Statement!L7-Segment_Model!L20</f>
        <v>0</v>
      </c>
      <c r="N7" s="82" t="str" cm="1">
        <f t="array" ref="N7">IF(SUMPRODUCT(ABS(B7:F7))&lt;0.1,"PASS","FAIL")</f>
        <v>PASS</v>
      </c>
    </row>
    <row r="8" spans="1:14" x14ac:dyDescent="0.25">
      <c r="A8" s="7" t="s">
        <v>192</v>
      </c>
      <c r="B8" s="32">
        <f>Debt_and_Leases!H8-(Debt_and_Leases!H6+Debt_and_Leases!H7)</f>
        <v>0</v>
      </c>
      <c r="C8" s="32">
        <f>Debt_and_Leases!I8-(Debt_and_Leases!I6+Debt_and_Leases!I7)</f>
        <v>0</v>
      </c>
      <c r="D8" s="32">
        <f>Debt_and_Leases!J8-(Debt_and_Leases!J6+Debt_and_Leases!J7)</f>
        <v>0</v>
      </c>
      <c r="E8" s="32">
        <f>Debt_and_Leases!K8-(Debt_and_Leases!K6+Debt_and_Leases!K7)</f>
        <v>0</v>
      </c>
      <c r="F8" s="32">
        <f>Debt_and_Leases!L8-(Debt_and_Leases!L6+Debt_and_Leases!L7)</f>
        <v>0</v>
      </c>
      <c r="N8" s="82" t="str" cm="1">
        <f t="array" ref="N8">IF(SUMPRODUCT(ABS(B8:F8))&lt;0.1,"PASS","FAIL")</f>
        <v>PASS</v>
      </c>
    </row>
    <row r="9" spans="1:14" x14ac:dyDescent="0.25">
      <c r="A9" s="7" t="s">
        <v>193</v>
      </c>
      <c r="B9" s="32">
        <f>Balance_Sheet!H6-Cash_Flow!H30</f>
        <v>0</v>
      </c>
      <c r="C9" s="32">
        <f>Balance_Sheet!I6-Cash_Flow!I30</f>
        <v>0</v>
      </c>
      <c r="D9" s="32">
        <f>Balance_Sheet!J6-Cash_Flow!J30</f>
        <v>0</v>
      </c>
      <c r="E9" s="32">
        <f>Balance_Sheet!K6-Cash_Flow!K30</f>
        <v>0</v>
      </c>
      <c r="F9" s="32">
        <f>Balance_Sheet!L6-Cash_Flow!L30</f>
        <v>0</v>
      </c>
      <c r="N9" s="82" t="str" cm="1">
        <f t="array" ref="N9">IF(SUMPRODUCT(ABS(B9:F9))&lt;0.1,"PASS","FAIL")</f>
        <v>PASS</v>
      </c>
    </row>
    <row r="10" spans="1:14" x14ac:dyDescent="0.25">
      <c r="A10" s="7" t="s">
        <v>262</v>
      </c>
      <c r="B10" s="25">
        <f>Balance_Sheet!H25-Equity_and_Dividends!H15</f>
        <v>0</v>
      </c>
      <c r="C10" s="25">
        <f>Balance_Sheet!I25-Equity_and_Dividends!I15</f>
        <v>0</v>
      </c>
      <c r="D10" s="25">
        <f>Balance_Sheet!J25-Equity_and_Dividends!J15</f>
        <v>0</v>
      </c>
      <c r="E10" s="25">
        <f>Balance_Sheet!K25-Equity_and_Dividends!K15</f>
        <v>0</v>
      </c>
      <c r="F10" s="25">
        <f>Balance_Sheet!L25-Equity_and_Dividends!L15</f>
        <v>0</v>
      </c>
      <c r="N10" s="82" t="str" cm="1">
        <f t="array" ref="N10">IF(SUMPRODUCT(ABS(B10:F10))&lt;0.1,"PASS","FAIL")</f>
        <v>PASS</v>
      </c>
    </row>
    <row r="11" spans="1:14" x14ac:dyDescent="0.25">
      <c r="A11" s="7" t="s">
        <v>194</v>
      </c>
      <c r="B11" s="16" t="s">
        <v>195</v>
      </c>
      <c r="N11" s="82" t="s">
        <v>196</v>
      </c>
    </row>
    <row r="13" spans="1:14" x14ac:dyDescent="0.25">
      <c r="A13" s="62" t="s">
        <v>197</v>
      </c>
      <c r="B13" s="14"/>
      <c r="C13" s="14"/>
      <c r="D13" s="14"/>
      <c r="E13" s="14"/>
      <c r="F13" s="14"/>
      <c r="N13" s="83" t="str">
        <f>IF(COUNTIF(N5:N11,"FAIL")=0,"ALL CHECKS PASS","ERRORS DETECTED")</f>
        <v>ALL CHECKS PASS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</vt:lpstr>
      <vt:lpstr>Disclosures</vt:lpstr>
      <vt:lpstr>Assumptions</vt:lpstr>
      <vt:lpstr>Historical_Financials</vt:lpstr>
      <vt:lpstr>Segment_Model</vt:lpstr>
      <vt:lpstr>Income_Statement</vt:lpstr>
      <vt:lpstr>Cash_Flow</vt:lpstr>
      <vt:lpstr>Balance_Sheet</vt:lpstr>
      <vt:lpstr>Debt_and_Leases</vt:lpstr>
      <vt:lpstr>Equity_and_Dividends</vt:lpstr>
      <vt:lpstr>Goodwill_and_Intangibles</vt:lpstr>
      <vt:lpstr>Working_Capital</vt:lpstr>
      <vt:lpstr>Capex_and_DA</vt:lpstr>
      <vt:lpstr>Valuation</vt:lpstr>
      <vt:lpstr>Sensitivities</vt:lpstr>
      <vt:lpstr>Checks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Wang</dc:creator>
  <cp:lastModifiedBy>David Wang</cp:lastModifiedBy>
  <dcterms:created xsi:type="dcterms:W3CDTF">2026-02-20T15:36:09Z</dcterms:created>
  <dcterms:modified xsi:type="dcterms:W3CDTF">2026-02-20T22:29:24Z</dcterms:modified>
</cp:coreProperties>
</file>